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codeName="ThisWorkbook" hidePivotFieldList="1" defaultThemeVersion="124226"/>
  <xr:revisionPtr revIDLastSave="0" documentId="13_ncr:1_{6A8E0D04-5A1E-4DFF-8941-8F65A233E92D}" xr6:coauthVersionLast="47" xr6:coauthVersionMax="47" xr10:uidLastSave="{00000000-0000-0000-0000-000000000000}"/>
  <bookViews>
    <workbookView xWindow="23880" yWindow="-120" windowWidth="29040" windowHeight="15840" firstSheet="3" activeTab="7" xr2:uid="{00000000-000D-0000-FFFF-FFFF00000000}"/>
  </bookViews>
  <sheets>
    <sheet name="Using CID" sheetId="35" r:id="rId1"/>
    <sheet name="CID Coversheet (TW)" sheetId="36" r:id="rId2"/>
    <sheet name="Medicine Coversheet (CG)" sheetId="25" r:id="rId3"/>
    <sheet name="Surgery Coversheet (CG)" sheetId="26" r:id="rId4"/>
    <sheet name="W&amp;C Coversheet (CG)" sheetId="27" r:id="rId5"/>
    <sheet name="CSS Coversheet (CG)" sheetId="28" r:id="rId6"/>
    <sheet name="CID Coversheet (CG)" sheetId="23" state="hidden" r:id="rId7"/>
    <sheet name="Current Dashboard" sheetId="32" r:id="rId8"/>
    <sheet name="Previous Dashboard" sheetId="33" r:id="rId9"/>
    <sheet name="Staff In Post" sheetId="11" state="hidden" r:id="rId10"/>
    <sheet name="Mandatory Training" sheetId="12" state="hidden" r:id="rId11"/>
    <sheet name="Appraisals" sheetId="13" state="hidden" r:id="rId12"/>
    <sheet name="Stress" sheetId="1" state="hidden" r:id="rId13"/>
    <sheet name="Musculo Skeletal" sheetId="3" state="hidden" r:id="rId14"/>
    <sheet name="All Sickness" sheetId="4" state="hidden" r:id="rId15"/>
    <sheet name="LT.ST" sheetId="5" state="hidden" r:id="rId16"/>
    <sheet name="Turnover" sheetId="10" state="hidden" r:id="rId17"/>
    <sheet name="Leavers" sheetId="29" state="hidden" r:id="rId18"/>
    <sheet name="Agency Usage" sheetId="7" state="hidden" r:id="rId19"/>
    <sheet name="Staff Engagement" sheetId="37" state="hidden" r:id="rId20"/>
    <sheet name="Patient Experience" sheetId="38" state="hidden" r:id="rId21"/>
    <sheet name="LfE . HR Ops . F2SU" sheetId="39" state="hidden" r:id="rId22"/>
    <sheet name="Pulse Survey" sheetId="14" state="hidden" r:id="rId23"/>
    <sheet name="Staff Survey" sheetId="8" state="hidden" r:id="rId24"/>
    <sheet name="Pulse Mapping" sheetId="15" state="hidden" r:id="rId25"/>
    <sheet name="Benchmark" sheetId="16" state="hidden" r:id="rId26"/>
  </sheets>
  <definedNames>
    <definedName name="_xlnm._FilterDatabase" localSheetId="7" hidden="1">'Current Dashboard'!$A$5:$BQ$62</definedName>
    <definedName name="_xlnm._FilterDatabase" localSheetId="8" hidden="1">'Previous Dashboard'!$CL$5:$CQ$62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3" i="32" l="1"/>
  <c r="AM8" i="32"/>
  <c r="K51" i="38"/>
  <c r="J51" i="38"/>
  <c r="I51" i="38"/>
  <c r="K50" i="38"/>
  <c r="J50" i="38"/>
  <c r="I50" i="38"/>
  <c r="K49" i="38"/>
  <c r="J49" i="38"/>
  <c r="I49" i="38"/>
  <c r="K48" i="38"/>
  <c r="J48" i="38"/>
  <c r="I48" i="38"/>
  <c r="K47" i="38"/>
  <c r="J47" i="38"/>
  <c r="I47" i="38"/>
  <c r="K43" i="38"/>
  <c r="J43" i="38"/>
  <c r="I43" i="38"/>
  <c r="K42" i="38"/>
  <c r="J42" i="38"/>
  <c r="I42" i="38"/>
  <c r="K41" i="38"/>
  <c r="J41" i="38"/>
  <c r="I41" i="38"/>
  <c r="K40" i="38"/>
  <c r="J40" i="38"/>
  <c r="I40" i="38"/>
  <c r="K39" i="38"/>
  <c r="J39" i="38"/>
  <c r="I39" i="38"/>
  <c r="K38" i="38"/>
  <c r="J38" i="38"/>
  <c r="I38" i="38"/>
  <c r="K37" i="38"/>
  <c r="J37" i="38"/>
  <c r="I37" i="38"/>
  <c r="K36" i="38"/>
  <c r="J36" i="38"/>
  <c r="I36" i="38"/>
  <c r="K35" i="38"/>
  <c r="J35" i="38"/>
  <c r="I35" i="38"/>
  <c r="K34" i="38"/>
  <c r="J34" i="38"/>
  <c r="I34" i="38"/>
  <c r="K33" i="38"/>
  <c r="J33" i="38"/>
  <c r="I33" i="38"/>
  <c r="K32" i="38"/>
  <c r="J32" i="38"/>
  <c r="I32" i="38"/>
  <c r="K31" i="38"/>
  <c r="J31" i="38"/>
  <c r="I31" i="38"/>
  <c r="K30" i="38"/>
  <c r="J30" i="38"/>
  <c r="I30" i="38"/>
  <c r="K29" i="38"/>
  <c r="J29" i="38"/>
  <c r="I29" i="38"/>
  <c r="K28" i="38"/>
  <c r="J28" i="38"/>
  <c r="I28" i="38"/>
  <c r="K27" i="38"/>
  <c r="J27" i="38"/>
  <c r="I27" i="38"/>
  <c r="K26" i="38"/>
  <c r="J26" i="38"/>
  <c r="I26" i="38"/>
  <c r="K25" i="38"/>
  <c r="J25" i="38"/>
  <c r="I25" i="38"/>
  <c r="K24" i="38"/>
  <c r="J24" i="38"/>
  <c r="I24" i="38"/>
  <c r="K23" i="38"/>
  <c r="J23" i="38"/>
  <c r="I23" i="38"/>
  <c r="K22" i="38"/>
  <c r="J22" i="38"/>
  <c r="I22" i="38"/>
  <c r="K21" i="38"/>
  <c r="J21" i="38"/>
  <c r="I21" i="38"/>
  <c r="K20" i="38"/>
  <c r="J20" i="38"/>
  <c r="I20" i="38"/>
  <c r="K19" i="38"/>
  <c r="J19" i="38"/>
  <c r="I19" i="38"/>
  <c r="K18" i="38"/>
  <c r="J18" i="38"/>
  <c r="I18" i="38"/>
  <c r="K17" i="38"/>
  <c r="J17" i="38"/>
  <c r="I17" i="38"/>
  <c r="K16" i="38"/>
  <c r="J16" i="38"/>
  <c r="I16" i="38"/>
  <c r="K15" i="38"/>
  <c r="J15" i="38"/>
  <c r="I15" i="38"/>
  <c r="K14" i="38"/>
  <c r="J14" i="38"/>
  <c r="I14" i="38"/>
  <c r="K13" i="38"/>
  <c r="J13" i="38"/>
  <c r="I13" i="38"/>
  <c r="K12" i="38"/>
  <c r="J12" i="38"/>
  <c r="I12" i="38"/>
  <c r="K11" i="38"/>
  <c r="J11" i="38"/>
  <c r="I11" i="38"/>
  <c r="K10" i="38"/>
  <c r="J10" i="38"/>
  <c r="I10" i="38"/>
  <c r="K9" i="38"/>
  <c r="J9" i="38"/>
  <c r="I9" i="38"/>
  <c r="K8" i="38"/>
  <c r="J8" i="38"/>
  <c r="I8" i="38"/>
  <c r="K7" i="38"/>
  <c r="J7" i="38"/>
  <c r="I7" i="38"/>
  <c r="K6" i="38"/>
  <c r="J6" i="38"/>
  <c r="I6" i="38"/>
  <c r="K5" i="38"/>
  <c r="J5" i="38"/>
  <c r="I5" i="38"/>
  <c r="K4" i="38"/>
  <c r="J4" i="38"/>
  <c r="I4" i="38"/>
  <c r="AF62" i="32"/>
  <c r="AL39" i="32"/>
  <c r="AL40" i="32"/>
  <c r="AL41" i="32"/>
  <c r="AJ39" i="32"/>
  <c r="AJ40" i="32"/>
  <c r="AJ41" i="32"/>
  <c r="AH40" i="32"/>
  <c r="AH41" i="32"/>
  <c r="AH42" i="32"/>
  <c r="AL31" i="32"/>
  <c r="AL32" i="32"/>
  <c r="AJ31" i="32"/>
  <c r="AJ32" i="32"/>
  <c r="AH31" i="32"/>
  <c r="AH32" i="32"/>
  <c r="AJ19" i="32"/>
  <c r="AJ20" i="32"/>
  <c r="AJ21" i="32"/>
  <c r="AJ22" i="32"/>
  <c r="AJ23" i="32"/>
  <c r="AJ24" i="32"/>
  <c r="AJ25" i="32"/>
  <c r="AJ26" i="32"/>
  <c r="AJ27" i="32"/>
  <c r="AL19" i="32"/>
  <c r="AL20" i="32"/>
  <c r="AL21" i="32"/>
  <c r="AL22" i="32"/>
  <c r="AL23" i="32"/>
  <c r="AL24" i="32"/>
  <c r="AL25" i="32"/>
  <c r="AL26" i="32"/>
  <c r="AL27" i="32"/>
  <c r="AL8" i="32"/>
  <c r="AL9" i="32"/>
  <c r="AL10" i="32"/>
  <c r="AL11" i="32"/>
  <c r="AL12" i="32"/>
  <c r="AL13" i="32"/>
  <c r="AL14" i="32"/>
  <c r="AF50" i="32"/>
  <c r="AH19" i="32"/>
  <c r="AH20" i="32"/>
  <c r="AH21" i="32"/>
  <c r="AH22" i="32"/>
  <c r="AH23" i="32"/>
  <c r="AH24" i="32"/>
  <c r="AH25" i="32"/>
  <c r="AH26" i="32"/>
  <c r="AH27" i="32"/>
  <c r="AJ8" i="32"/>
  <c r="AJ9" i="32"/>
  <c r="AJ10" i="32"/>
  <c r="AJ11" i="32"/>
  <c r="AJ12" i="32"/>
  <c r="AJ13" i="32"/>
  <c r="AJ14" i="32"/>
  <c r="AJ15" i="32"/>
  <c r="AH14" i="32"/>
  <c r="AH15" i="32"/>
  <c r="AH11" i="32"/>
  <c r="AH8" i="32"/>
  <c r="AH7" i="32"/>
  <c r="AF40" i="32"/>
  <c r="AF41" i="32"/>
  <c r="AF31" i="32"/>
  <c r="AF25" i="32"/>
  <c r="AF19" i="32"/>
  <c r="AF14" i="32"/>
  <c r="AF15" i="32"/>
  <c r="AF11" i="32"/>
  <c r="AF8" i="32"/>
  <c r="B14" i="13" l="1"/>
  <c r="B78" i="13"/>
  <c r="M6" i="28" l="1"/>
  <c r="M5" i="28"/>
  <c r="M7" i="28"/>
  <c r="M7" i="27"/>
  <c r="M6" i="27"/>
  <c r="M5" i="27"/>
  <c r="M7" i="26"/>
  <c r="M6" i="26"/>
  <c r="M5" i="26"/>
  <c r="M7" i="25"/>
  <c r="M6" i="25"/>
  <c r="M5" i="25"/>
  <c r="CN69" i="32" l="1"/>
  <c r="K72" i="14"/>
  <c r="K61" i="14" l="1"/>
  <c r="AM34" i="32" l="1"/>
  <c r="AM36" i="32"/>
  <c r="AM45" i="32"/>
  <c r="AM14" i="32"/>
  <c r="CP70" i="32"/>
  <c r="CP71" i="32"/>
  <c r="CP72" i="32"/>
  <c r="CP73" i="32"/>
  <c r="CN70" i="32"/>
  <c r="CN71" i="32"/>
  <c r="CN72" i="32"/>
  <c r="CN73" i="32"/>
  <c r="CP69" i="32"/>
  <c r="CL70" i="32"/>
  <c r="CL71" i="32"/>
  <c r="CL72" i="32"/>
  <c r="CL73" i="32"/>
  <c r="CL69" i="32"/>
  <c r="CL10" i="32"/>
  <c r="CL11" i="32"/>
  <c r="CL12" i="32"/>
  <c r="CL13" i="32"/>
  <c r="CL14" i="32"/>
  <c r="CL15" i="32"/>
  <c r="CL16" i="32"/>
  <c r="CL17" i="32"/>
  <c r="CL18" i="32"/>
  <c r="CL19" i="32"/>
  <c r="CL20" i="32"/>
  <c r="CL21" i="32"/>
  <c r="CL22" i="32"/>
  <c r="CL23" i="32"/>
  <c r="CL24" i="32"/>
  <c r="CL25" i="32"/>
  <c r="CL26" i="32"/>
  <c r="CL27" i="32"/>
  <c r="CL29" i="32"/>
  <c r="CL30" i="32"/>
  <c r="CL31" i="32"/>
  <c r="CL32" i="32"/>
  <c r="CL33" i="32"/>
  <c r="CL34" i="32"/>
  <c r="CL35" i="32"/>
  <c r="CL36" i="32"/>
  <c r="CL37" i="32"/>
  <c r="CL38" i="32"/>
  <c r="CL39" i="32"/>
  <c r="CL40" i="32"/>
  <c r="CL41" i="32"/>
  <c r="CL42" i="32"/>
  <c r="CL43" i="32"/>
  <c r="CL44" i="32"/>
  <c r="CL45" i="32"/>
  <c r="CL46" i="32"/>
  <c r="CL47" i="32"/>
  <c r="CL48" i="32"/>
  <c r="CL49" i="32"/>
  <c r="CL50" i="32"/>
  <c r="CL51" i="32"/>
  <c r="CL52" i="32"/>
  <c r="CL53" i="32"/>
  <c r="CL54" i="32"/>
  <c r="CL55" i="32"/>
  <c r="CL56" i="32"/>
  <c r="CL57" i="32"/>
  <c r="CL58" i="32"/>
  <c r="CL59" i="32"/>
  <c r="CL60" i="32"/>
  <c r="CL61" i="32"/>
  <c r="CL62" i="32"/>
  <c r="CL8" i="32"/>
  <c r="CL9" i="32"/>
  <c r="CL7" i="32"/>
  <c r="CL6" i="32"/>
  <c r="R44" i="32" l="1"/>
  <c r="L6" i="28" l="1"/>
  <c r="L5" i="28"/>
  <c r="L7" i="28"/>
  <c r="L7" i="27"/>
  <c r="L6" i="27"/>
  <c r="L5" i="27"/>
  <c r="L6" i="26"/>
  <c r="L5" i="26"/>
  <c r="L7" i="26"/>
  <c r="L7" i="25"/>
  <c r="L6" i="25"/>
  <c r="L5" i="25"/>
  <c r="AK8" i="32"/>
  <c r="AK9" i="32"/>
  <c r="AK10" i="32"/>
  <c r="AK11" i="32"/>
  <c r="AK12" i="32"/>
  <c r="AK13" i="32"/>
  <c r="AK14" i="32"/>
  <c r="AK16" i="32"/>
  <c r="AK17" i="32"/>
  <c r="AK18" i="32"/>
  <c r="AK19" i="32"/>
  <c r="AK20" i="32"/>
  <c r="AK21" i="32"/>
  <c r="AK22" i="32"/>
  <c r="AK23" i="32"/>
  <c r="AK24" i="32"/>
  <c r="AK25" i="32"/>
  <c r="AK26" i="32"/>
  <c r="AK27"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61" i="32"/>
  <c r="AK62" i="32"/>
  <c r="AI7" i="32"/>
  <c r="AI8" i="32"/>
  <c r="AI9" i="32"/>
  <c r="AI10" i="32"/>
  <c r="AI11" i="32"/>
  <c r="AI12" i="32"/>
  <c r="AI13" i="32"/>
  <c r="AI14" i="32"/>
  <c r="AI16" i="32"/>
  <c r="AI17" i="32"/>
  <c r="AI18" i="32"/>
  <c r="AI19" i="32"/>
  <c r="AI20" i="32"/>
  <c r="AI21" i="32"/>
  <c r="AI22" i="32"/>
  <c r="AI23" i="32"/>
  <c r="AI24" i="32"/>
  <c r="AI25" i="32"/>
  <c r="AI26" i="32"/>
  <c r="AI27" i="32"/>
  <c r="AI29" i="32"/>
  <c r="AI30" i="32"/>
  <c r="AI31" i="32"/>
  <c r="AI32" i="32"/>
  <c r="AI33" i="32"/>
  <c r="AI34" i="32"/>
  <c r="AI35" i="32"/>
  <c r="AI36" i="32"/>
  <c r="AI37" i="32"/>
  <c r="AI38" i="32"/>
  <c r="AI39" i="32"/>
  <c r="AI40" i="32"/>
  <c r="AI41" i="32"/>
  <c r="AI42" i="32"/>
  <c r="AI43" i="32"/>
  <c r="AI44" i="32"/>
  <c r="AI45" i="32"/>
  <c r="AI46" i="32"/>
  <c r="AI47" i="32"/>
  <c r="AI48" i="32"/>
  <c r="AI49" i="32"/>
  <c r="AI50" i="32"/>
  <c r="AI51" i="32"/>
  <c r="AI52" i="32"/>
  <c r="AI53" i="32"/>
  <c r="AI54" i="32"/>
  <c r="AI55" i="32"/>
  <c r="AI56" i="32"/>
  <c r="AI57" i="32"/>
  <c r="AI61" i="32"/>
  <c r="AI62"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61" i="32"/>
  <c r="AG62" i="32"/>
  <c r="AG18" i="32"/>
  <c r="AG19" i="32"/>
  <c r="AG20" i="32"/>
  <c r="AG21" i="32"/>
  <c r="AG22" i="32"/>
  <c r="AG23" i="32"/>
  <c r="AG24" i="32"/>
  <c r="AG25" i="32"/>
  <c r="AG26" i="32"/>
  <c r="AG27" i="32"/>
  <c r="AG12" i="32"/>
  <c r="AG13" i="32"/>
  <c r="AG14" i="32"/>
  <c r="AG16" i="32"/>
  <c r="AG17" i="32"/>
  <c r="AG8" i="32"/>
  <c r="AG9" i="32"/>
  <c r="AG10" i="32"/>
  <c r="AG11" i="32"/>
  <c r="AE62" i="32"/>
  <c r="AE50" i="32"/>
  <c r="AE41" i="32"/>
  <c r="AE40" i="32"/>
  <c r="AE31" i="32"/>
  <c r="AE25" i="32"/>
  <c r="AE19" i="32"/>
  <c r="AE11" i="32"/>
  <c r="AE8" i="32"/>
  <c r="AE14" i="32"/>
  <c r="AL70" i="32" l="1"/>
  <c r="AL71" i="32"/>
  <c r="AL72" i="32"/>
  <c r="AL73" i="32"/>
  <c r="AL69" i="32"/>
  <c r="AJ70" i="32"/>
  <c r="AJ71" i="32"/>
  <c r="AJ72" i="32"/>
  <c r="AJ73" i="32"/>
  <c r="AJ69" i="32"/>
  <c r="AH70" i="32"/>
  <c r="AH71" i="32"/>
  <c r="AH72" i="32"/>
  <c r="AH73" i="32"/>
  <c r="AH69" i="32"/>
  <c r="AF70" i="32"/>
  <c r="AF71" i="32"/>
  <c r="AF72" i="32"/>
  <c r="AF73" i="32"/>
  <c r="AF69" i="32"/>
  <c r="AL16" i="32"/>
  <c r="AL17" i="32"/>
  <c r="AL18" i="32"/>
  <c r="AL29" i="32"/>
  <c r="AL30" i="32"/>
  <c r="AL33" i="32"/>
  <c r="AL34" i="32"/>
  <c r="AL35" i="32"/>
  <c r="AL36" i="32"/>
  <c r="AL37" i="32"/>
  <c r="AL38" i="32"/>
  <c r="AL42" i="32"/>
  <c r="AL43" i="32"/>
  <c r="AL44" i="32"/>
  <c r="AL45" i="32"/>
  <c r="AL46" i="32"/>
  <c r="AL47" i="32"/>
  <c r="AL48" i="32"/>
  <c r="AL49" i="32"/>
  <c r="AL50" i="32"/>
  <c r="AL51" i="32"/>
  <c r="AL52" i="32"/>
  <c r="AL53" i="32"/>
  <c r="AL54" i="32"/>
  <c r="AL55" i="32"/>
  <c r="AL56" i="32"/>
  <c r="AL57" i="32"/>
  <c r="AL61" i="32"/>
  <c r="AL62" i="32"/>
  <c r="AL7" i="32"/>
  <c r="AL6" i="32"/>
  <c r="AJ18" i="32"/>
  <c r="AJ29" i="32"/>
  <c r="AJ30" i="32"/>
  <c r="AJ33" i="32"/>
  <c r="AJ34" i="32"/>
  <c r="AJ35" i="32"/>
  <c r="AJ36" i="32"/>
  <c r="AJ37" i="32"/>
  <c r="AJ38" i="32"/>
  <c r="AJ42" i="32"/>
  <c r="AJ43" i="32"/>
  <c r="AJ44" i="32"/>
  <c r="AJ45" i="32"/>
  <c r="AJ46" i="32"/>
  <c r="AJ47" i="32"/>
  <c r="AJ48" i="32"/>
  <c r="AJ49" i="32"/>
  <c r="AJ50" i="32"/>
  <c r="AJ51" i="32"/>
  <c r="AJ52" i="32"/>
  <c r="AJ53" i="32"/>
  <c r="AJ54" i="32"/>
  <c r="AJ55" i="32"/>
  <c r="AJ56" i="32"/>
  <c r="AJ57" i="32"/>
  <c r="AJ61" i="32"/>
  <c r="AJ62" i="32"/>
  <c r="AJ7" i="32"/>
  <c r="AJ16" i="32"/>
  <c r="AJ17" i="32"/>
  <c r="AJ6" i="32"/>
  <c r="AH16" i="32"/>
  <c r="AH17" i="32"/>
  <c r="AH18" i="32"/>
  <c r="AH29" i="32"/>
  <c r="AH30" i="32"/>
  <c r="AH33" i="32"/>
  <c r="AH34" i="32"/>
  <c r="AH35" i="32"/>
  <c r="AH36" i="32"/>
  <c r="AH37" i="32"/>
  <c r="AH38" i="32"/>
  <c r="AH39" i="32"/>
  <c r="AH43" i="32"/>
  <c r="AH44" i="32"/>
  <c r="AH45" i="32"/>
  <c r="AH46" i="32"/>
  <c r="AH47" i="32"/>
  <c r="AH48" i="32"/>
  <c r="AH49" i="32"/>
  <c r="AH50" i="32"/>
  <c r="AH51" i="32"/>
  <c r="AH52" i="32"/>
  <c r="AH53" i="32"/>
  <c r="AH54" i="32"/>
  <c r="AH55" i="32"/>
  <c r="AH56" i="32"/>
  <c r="AH57" i="32"/>
  <c r="AH61" i="32"/>
  <c r="AH62" i="32"/>
  <c r="AH9" i="32"/>
  <c r="AH10" i="32"/>
  <c r="AH12" i="32"/>
  <c r="AH13" i="32"/>
  <c r="AH6" i="32"/>
  <c r="AF10" i="32"/>
  <c r="AF12" i="32"/>
  <c r="AF13" i="32"/>
  <c r="AF16" i="32"/>
  <c r="AF17" i="32"/>
  <c r="AF18" i="32"/>
  <c r="AF20" i="32"/>
  <c r="AF21" i="32"/>
  <c r="AF22" i="32"/>
  <c r="AF23" i="32"/>
  <c r="AF24" i="32"/>
  <c r="AF26" i="32"/>
  <c r="AF27" i="32"/>
  <c r="AF29" i="32"/>
  <c r="AF30" i="32"/>
  <c r="AF32" i="32"/>
  <c r="AF33" i="32"/>
  <c r="AF34" i="32"/>
  <c r="AF35" i="32"/>
  <c r="AF36" i="32"/>
  <c r="AF37" i="32"/>
  <c r="AF38" i="32"/>
  <c r="AF39" i="32"/>
  <c r="AF42" i="32"/>
  <c r="AF43" i="32"/>
  <c r="AF44" i="32"/>
  <c r="AF45" i="32"/>
  <c r="AF46" i="32"/>
  <c r="AF47" i="32"/>
  <c r="AF48" i="32"/>
  <c r="AF49" i="32"/>
  <c r="AF51" i="32"/>
  <c r="AF52" i="32"/>
  <c r="AF53" i="32"/>
  <c r="AF54" i="32"/>
  <c r="AF55" i="32"/>
  <c r="AF56" i="32"/>
  <c r="AF57" i="32"/>
  <c r="AF61" i="32"/>
  <c r="AF7" i="32"/>
  <c r="AF9" i="32"/>
  <c r="AF6" i="32"/>
  <c r="AP6" i="32"/>
  <c r="AP32" i="32"/>
  <c r="BO70" i="32" l="1"/>
  <c r="BP70" i="32"/>
  <c r="BQ70" i="32"/>
  <c r="BO71" i="32"/>
  <c r="BP71" i="32"/>
  <c r="BQ71" i="32"/>
  <c r="BO72" i="32"/>
  <c r="BP72" i="32"/>
  <c r="BQ72" i="32"/>
  <c r="BO73" i="32"/>
  <c r="BP73" i="32"/>
  <c r="BQ73" i="32"/>
  <c r="BQ69" i="32"/>
  <c r="BP69" i="32"/>
  <c r="BO69" i="32"/>
  <c r="BM70" i="32"/>
  <c r="BM71" i="32"/>
  <c r="BM72" i="32"/>
  <c r="BM73" i="32"/>
  <c r="BM69" i="32"/>
  <c r="CQ70" i="32" l="1"/>
  <c r="CQ71" i="32"/>
  <c r="CQ72" i="32"/>
  <c r="CQ73" i="32"/>
  <c r="CQ69" i="32"/>
  <c r="CO70" i="32"/>
  <c r="CO71" i="32"/>
  <c r="CO72" i="32"/>
  <c r="CO73" i="32"/>
  <c r="CO69" i="32"/>
  <c r="CM70" i="32"/>
  <c r="CM71" i="32"/>
  <c r="CM72" i="32"/>
  <c r="CM73" i="32"/>
  <c r="CM69" i="32"/>
  <c r="CM7" i="32"/>
  <c r="CM8" i="32"/>
  <c r="CM9" i="32"/>
  <c r="CM10" i="32"/>
  <c r="CM11" i="32"/>
  <c r="CM12" i="32"/>
  <c r="CM13" i="32"/>
  <c r="CM14" i="32"/>
  <c r="CM15" i="32"/>
  <c r="CM16" i="32"/>
  <c r="CM17" i="32"/>
  <c r="CM18" i="32"/>
  <c r="CM19" i="32"/>
  <c r="CM20" i="32"/>
  <c r="CM21" i="32"/>
  <c r="CM22" i="32"/>
  <c r="CM23" i="32"/>
  <c r="CM24" i="32"/>
  <c r="CM25" i="32"/>
  <c r="CM26" i="32"/>
  <c r="CM27" i="32"/>
  <c r="CM28" i="32"/>
  <c r="CM29" i="32"/>
  <c r="CM30" i="32"/>
  <c r="CM31" i="32"/>
  <c r="CM32" i="32"/>
  <c r="CM33" i="32"/>
  <c r="CM34" i="32"/>
  <c r="CM35" i="32"/>
  <c r="CM36" i="32"/>
  <c r="CM37" i="32"/>
  <c r="CM38" i="32"/>
  <c r="CM39" i="32"/>
  <c r="CM40" i="32"/>
  <c r="CM41" i="32"/>
  <c r="CM42" i="32"/>
  <c r="CM43" i="32"/>
  <c r="CM44" i="32"/>
  <c r="CM45" i="32"/>
  <c r="CM46" i="32"/>
  <c r="CM47" i="32"/>
  <c r="CM48" i="32"/>
  <c r="CM49" i="32"/>
  <c r="CM50" i="32"/>
  <c r="CM51" i="32"/>
  <c r="CM52" i="32"/>
  <c r="CM53" i="32"/>
  <c r="CM54" i="32"/>
  <c r="CM55" i="32"/>
  <c r="CM56" i="32"/>
  <c r="CM57" i="32"/>
  <c r="CM58" i="32"/>
  <c r="CM59" i="32"/>
  <c r="CM60" i="32"/>
  <c r="CM61" i="32"/>
  <c r="CM62" i="32"/>
  <c r="CM6" i="32"/>
  <c r="BO7" i="32"/>
  <c r="BP7" i="32"/>
  <c r="BQ7" i="32"/>
  <c r="BO8" i="32"/>
  <c r="BP8" i="32"/>
  <c r="BQ8" i="32"/>
  <c r="BO9" i="32"/>
  <c r="BP9" i="32"/>
  <c r="BQ9" i="32"/>
  <c r="BO10" i="32"/>
  <c r="BP10" i="32"/>
  <c r="BQ10" i="32"/>
  <c r="BO11" i="32"/>
  <c r="BP11" i="32"/>
  <c r="BQ11" i="32"/>
  <c r="BO12" i="32"/>
  <c r="BP12" i="32"/>
  <c r="BQ12" i="32"/>
  <c r="BO13" i="32"/>
  <c r="BP13" i="32"/>
  <c r="BQ13" i="32"/>
  <c r="BO14" i="32"/>
  <c r="BP14" i="32"/>
  <c r="BQ14" i="32"/>
  <c r="BO15" i="32"/>
  <c r="BP15" i="32"/>
  <c r="BQ15" i="32"/>
  <c r="BO16" i="32"/>
  <c r="BP16" i="32"/>
  <c r="BQ16" i="32"/>
  <c r="BO17" i="32"/>
  <c r="BP17" i="32"/>
  <c r="BQ17" i="32"/>
  <c r="BO18" i="32"/>
  <c r="BP18" i="32"/>
  <c r="BQ18" i="32"/>
  <c r="BO19" i="32"/>
  <c r="BP19" i="32"/>
  <c r="BQ19" i="32"/>
  <c r="BO20" i="32"/>
  <c r="BP20" i="32"/>
  <c r="BQ20" i="32"/>
  <c r="BO21" i="32"/>
  <c r="BP21" i="32"/>
  <c r="BQ21" i="32"/>
  <c r="BO22" i="32"/>
  <c r="BP22" i="32"/>
  <c r="BQ22" i="32"/>
  <c r="BO23" i="32"/>
  <c r="BP23" i="32"/>
  <c r="BQ23" i="32"/>
  <c r="BO24" i="32"/>
  <c r="BP24" i="32"/>
  <c r="BQ24" i="32"/>
  <c r="BO25" i="32"/>
  <c r="BP25" i="32"/>
  <c r="BQ25" i="32"/>
  <c r="BO26" i="32"/>
  <c r="BP26" i="32"/>
  <c r="BQ26" i="32"/>
  <c r="BO27" i="32"/>
  <c r="BP27" i="32"/>
  <c r="BQ27" i="32"/>
  <c r="BO28" i="32"/>
  <c r="BP28" i="32"/>
  <c r="BQ28" i="32"/>
  <c r="BO29" i="32"/>
  <c r="BP29" i="32"/>
  <c r="BQ29" i="32"/>
  <c r="BO30" i="32"/>
  <c r="BP30" i="32"/>
  <c r="BQ30" i="32"/>
  <c r="BO31" i="32"/>
  <c r="BP31" i="32"/>
  <c r="BQ31" i="32"/>
  <c r="BO32" i="32"/>
  <c r="BP32" i="32"/>
  <c r="BQ32" i="32"/>
  <c r="BO33" i="32"/>
  <c r="BP33" i="32"/>
  <c r="BQ33" i="32"/>
  <c r="BO34" i="32"/>
  <c r="BP34" i="32"/>
  <c r="BQ34" i="32"/>
  <c r="BO35" i="32"/>
  <c r="BP35" i="32"/>
  <c r="BQ35" i="32"/>
  <c r="BO36" i="32"/>
  <c r="BP36" i="32"/>
  <c r="BQ36" i="32"/>
  <c r="BO37" i="32"/>
  <c r="BP37" i="32"/>
  <c r="BQ37" i="32"/>
  <c r="BO38" i="32"/>
  <c r="BP38" i="32"/>
  <c r="BQ38" i="32"/>
  <c r="BO39" i="32"/>
  <c r="BP39" i="32"/>
  <c r="BQ39" i="32"/>
  <c r="BO40" i="32"/>
  <c r="BP40" i="32"/>
  <c r="BQ40" i="32"/>
  <c r="BO41" i="32"/>
  <c r="BP41" i="32"/>
  <c r="BQ41" i="32"/>
  <c r="BO42" i="32"/>
  <c r="BP42" i="32"/>
  <c r="BQ42" i="32"/>
  <c r="BO43" i="32"/>
  <c r="BP43" i="32"/>
  <c r="BQ43" i="32"/>
  <c r="BO44" i="32"/>
  <c r="BP44" i="32"/>
  <c r="BQ44" i="32"/>
  <c r="BO45" i="32"/>
  <c r="BP45" i="32"/>
  <c r="BQ45" i="32"/>
  <c r="BO46" i="32"/>
  <c r="BP46" i="32"/>
  <c r="BQ46" i="32"/>
  <c r="BO47" i="32"/>
  <c r="BP47" i="32"/>
  <c r="BQ47" i="32"/>
  <c r="BO48" i="32"/>
  <c r="BP48" i="32"/>
  <c r="BQ48" i="32"/>
  <c r="BO49" i="32"/>
  <c r="BP49" i="32"/>
  <c r="BQ49" i="32"/>
  <c r="BO50" i="32"/>
  <c r="BP50" i="32"/>
  <c r="BQ50" i="32"/>
  <c r="BO51" i="32"/>
  <c r="BP51" i="32"/>
  <c r="BQ51" i="32"/>
  <c r="BO52" i="32"/>
  <c r="BP52" i="32"/>
  <c r="BQ52" i="32"/>
  <c r="BO53" i="32"/>
  <c r="BP53" i="32"/>
  <c r="BQ53" i="32"/>
  <c r="BO54" i="32"/>
  <c r="BP54" i="32"/>
  <c r="BQ54" i="32"/>
  <c r="BO55" i="32"/>
  <c r="BP55" i="32"/>
  <c r="BQ55" i="32"/>
  <c r="BO56" i="32"/>
  <c r="BP56" i="32"/>
  <c r="BQ56" i="32"/>
  <c r="BO57" i="32"/>
  <c r="BP57" i="32"/>
  <c r="BQ57" i="32"/>
  <c r="BO58" i="32"/>
  <c r="BP58" i="32"/>
  <c r="BQ58" i="32"/>
  <c r="BO59" i="32"/>
  <c r="BP59" i="32"/>
  <c r="BQ59" i="32"/>
  <c r="BO60" i="32"/>
  <c r="BP60" i="32"/>
  <c r="BQ60" i="32"/>
  <c r="BO61" i="32"/>
  <c r="BP61" i="32"/>
  <c r="BQ61" i="32"/>
  <c r="BO62" i="32"/>
  <c r="BP62" i="32"/>
  <c r="BQ62" i="32"/>
  <c r="BQ6" i="32"/>
  <c r="BP6" i="32"/>
  <c r="BO6" i="32"/>
  <c r="BM7" i="32"/>
  <c r="BM8" i="32"/>
  <c r="BM9" i="32"/>
  <c r="BM10" i="32"/>
  <c r="BM11" i="32"/>
  <c r="BM12" i="32"/>
  <c r="BM13" i="32"/>
  <c r="BM14" i="32"/>
  <c r="BM15" i="32"/>
  <c r="BM16" i="32"/>
  <c r="BM17" i="32"/>
  <c r="BM18" i="32"/>
  <c r="BM19" i="32"/>
  <c r="BM20" i="32"/>
  <c r="BM21" i="32"/>
  <c r="BM22" i="32"/>
  <c r="BM23" i="32"/>
  <c r="BM24" i="32"/>
  <c r="BM25" i="32"/>
  <c r="BM26" i="32"/>
  <c r="BM27" i="32"/>
  <c r="BM28" i="32"/>
  <c r="BM29" i="32"/>
  <c r="BM30" i="32"/>
  <c r="BM31" i="32"/>
  <c r="BM32" i="32"/>
  <c r="BM33" i="32"/>
  <c r="BM34" i="32"/>
  <c r="BM35" i="32"/>
  <c r="BM36" i="32"/>
  <c r="BM37" i="32"/>
  <c r="BM38" i="32"/>
  <c r="BM39" i="32"/>
  <c r="BM40" i="32"/>
  <c r="BM41" i="32"/>
  <c r="BM42" i="32"/>
  <c r="BM43" i="32"/>
  <c r="BM44" i="32"/>
  <c r="BM45" i="32"/>
  <c r="BM46" i="32"/>
  <c r="BM47" i="32"/>
  <c r="BM48" i="32"/>
  <c r="BM49" i="32"/>
  <c r="BM50" i="32"/>
  <c r="BM51" i="32"/>
  <c r="BM52" i="32"/>
  <c r="BM53" i="32"/>
  <c r="BM54" i="32"/>
  <c r="BM55" i="32"/>
  <c r="BM56" i="32"/>
  <c r="BM57" i="32"/>
  <c r="BM58" i="32"/>
  <c r="BM59" i="32"/>
  <c r="BM60" i="32"/>
  <c r="BM61" i="32"/>
  <c r="BM62" i="32"/>
  <c r="BM6" i="32"/>
  <c r="BK70" i="32"/>
  <c r="BK71" i="32"/>
  <c r="BK72" i="32"/>
  <c r="BK73" i="32"/>
  <c r="BK69" i="32"/>
  <c r="BK7" i="32"/>
  <c r="BK8" i="32"/>
  <c r="BK9" i="32"/>
  <c r="BK10" i="32"/>
  <c r="BK11" i="32"/>
  <c r="BK12" i="32"/>
  <c r="BK13" i="32"/>
  <c r="BK14" i="32"/>
  <c r="BK15" i="32"/>
  <c r="BK16" i="32"/>
  <c r="BK17" i="32"/>
  <c r="BK18" i="32"/>
  <c r="BK19" i="32"/>
  <c r="BK20" i="32"/>
  <c r="BK21" i="32"/>
  <c r="BK22" i="32"/>
  <c r="BK23" i="32"/>
  <c r="BK24" i="32"/>
  <c r="BK25" i="32"/>
  <c r="BK26" i="32"/>
  <c r="BK27" i="32"/>
  <c r="BK28" i="32"/>
  <c r="BK29" i="32"/>
  <c r="BK30" i="32"/>
  <c r="BK31" i="32"/>
  <c r="BK32" i="32"/>
  <c r="BK33" i="32"/>
  <c r="BK34" i="32"/>
  <c r="BK35" i="32"/>
  <c r="BK36" i="32"/>
  <c r="BK37" i="32"/>
  <c r="BK38" i="32"/>
  <c r="BK39" i="32"/>
  <c r="BK40" i="32"/>
  <c r="BK41" i="32"/>
  <c r="BK42" i="32"/>
  <c r="BK43" i="32"/>
  <c r="BK44" i="32"/>
  <c r="BK45" i="32"/>
  <c r="BK46" i="32"/>
  <c r="BK47" i="32"/>
  <c r="BK48" i="32"/>
  <c r="BK49" i="32"/>
  <c r="BK50" i="32"/>
  <c r="BK51" i="32"/>
  <c r="BK52" i="32"/>
  <c r="BK53" i="32"/>
  <c r="BK54" i="32"/>
  <c r="BK55" i="32"/>
  <c r="BK56" i="32"/>
  <c r="BK57" i="32"/>
  <c r="BK58" i="32"/>
  <c r="BK59" i="32"/>
  <c r="BK60" i="32"/>
  <c r="BK61" i="32"/>
  <c r="BK62" i="32"/>
  <c r="BK6" i="32"/>
  <c r="BH70" i="32"/>
  <c r="BH71" i="32"/>
  <c r="BH72" i="32"/>
  <c r="BH73" i="32"/>
  <c r="BH69" i="32"/>
  <c r="BH7" i="32"/>
  <c r="BH8" i="32"/>
  <c r="BH9" i="32"/>
  <c r="BH10" i="32"/>
  <c r="BH11" i="32"/>
  <c r="BH12" i="32"/>
  <c r="BH13" i="32"/>
  <c r="BH14" i="32"/>
  <c r="BH15" i="32"/>
  <c r="BH16" i="32"/>
  <c r="BH17" i="32"/>
  <c r="BH18" i="32"/>
  <c r="BH19" i="32"/>
  <c r="BH20" i="32"/>
  <c r="BH21" i="32"/>
  <c r="BH22" i="32"/>
  <c r="BH23" i="32"/>
  <c r="BH24" i="32"/>
  <c r="BH25" i="32"/>
  <c r="BH26" i="32"/>
  <c r="BH27" i="32"/>
  <c r="BH28" i="32"/>
  <c r="BH29" i="32"/>
  <c r="BH30" i="32"/>
  <c r="BH31" i="32"/>
  <c r="BH32" i="32"/>
  <c r="BH33" i="32"/>
  <c r="BH34" i="32"/>
  <c r="BH35" i="32"/>
  <c r="BH36" i="32"/>
  <c r="BH37" i="32"/>
  <c r="BH38" i="32"/>
  <c r="BH39" i="32"/>
  <c r="BH40" i="32"/>
  <c r="BH41" i="32"/>
  <c r="BH42" i="32"/>
  <c r="BH43" i="32"/>
  <c r="BH44" i="32"/>
  <c r="BH45" i="32"/>
  <c r="BH46" i="32"/>
  <c r="BH47" i="32"/>
  <c r="BH48" i="32"/>
  <c r="BH49" i="32"/>
  <c r="BH50" i="32"/>
  <c r="BH51" i="32"/>
  <c r="BH52" i="32"/>
  <c r="BH53" i="32"/>
  <c r="BH54" i="32"/>
  <c r="BH55" i="32"/>
  <c r="BH56" i="32"/>
  <c r="BH57" i="32"/>
  <c r="BH58" i="32"/>
  <c r="BH59" i="32"/>
  <c r="BH60" i="32"/>
  <c r="BH61" i="32"/>
  <c r="BH62" i="32"/>
  <c r="BH6" i="32"/>
  <c r="BE70" i="32"/>
  <c r="BE71" i="32"/>
  <c r="BE72" i="32"/>
  <c r="BE73" i="32"/>
  <c r="BE69" i="32"/>
  <c r="BE7" i="32"/>
  <c r="BE8" i="32"/>
  <c r="BE9" i="32"/>
  <c r="BE10" i="32"/>
  <c r="BE11" i="32"/>
  <c r="BE12" i="32"/>
  <c r="BE13" i="32"/>
  <c r="BE14" i="32"/>
  <c r="BE15" i="32"/>
  <c r="BE16" i="32"/>
  <c r="BE17" i="32"/>
  <c r="BE18" i="32"/>
  <c r="BE19" i="32"/>
  <c r="BE20" i="32"/>
  <c r="BE21" i="32"/>
  <c r="BE22" i="32"/>
  <c r="BE23" i="32"/>
  <c r="BE24" i="32"/>
  <c r="BE25" i="32"/>
  <c r="BE26" i="32"/>
  <c r="BE27" i="32"/>
  <c r="BE28" i="32"/>
  <c r="BE29" i="32"/>
  <c r="BE30" i="32"/>
  <c r="BE31" i="32"/>
  <c r="BE32" i="32"/>
  <c r="BE33" i="32"/>
  <c r="BE34" i="32"/>
  <c r="BE35" i="32"/>
  <c r="BE36" i="32"/>
  <c r="BE37" i="32"/>
  <c r="BE38" i="32"/>
  <c r="BE39" i="32"/>
  <c r="BE40" i="32"/>
  <c r="BE41" i="32"/>
  <c r="BE42" i="32"/>
  <c r="BE43" i="32"/>
  <c r="BE44" i="32"/>
  <c r="BE45" i="32"/>
  <c r="BE46" i="32"/>
  <c r="BE47" i="32"/>
  <c r="BE48" i="32"/>
  <c r="BE49" i="32"/>
  <c r="BE50" i="32"/>
  <c r="BE51" i="32"/>
  <c r="BE52" i="32"/>
  <c r="BE53" i="32"/>
  <c r="BE54" i="32"/>
  <c r="BE55" i="32"/>
  <c r="BE56" i="32"/>
  <c r="BE57" i="32"/>
  <c r="BE58" i="32"/>
  <c r="BE59" i="32"/>
  <c r="BE60" i="32"/>
  <c r="BE61" i="32"/>
  <c r="BE62" i="32"/>
  <c r="BE6" i="32"/>
  <c r="BB70" i="32"/>
  <c r="BB71" i="32"/>
  <c r="BB72" i="32"/>
  <c r="BB73" i="32"/>
  <c r="BB69" i="32"/>
  <c r="BB7" i="32"/>
  <c r="BB8" i="32"/>
  <c r="BB9" i="32"/>
  <c r="BB10" i="32"/>
  <c r="BB11" i="32"/>
  <c r="BB12" i="32"/>
  <c r="BB13" i="32"/>
  <c r="BB14" i="32"/>
  <c r="BB15" i="32"/>
  <c r="BB16" i="32"/>
  <c r="BB17" i="32"/>
  <c r="BB18" i="32"/>
  <c r="BB19" i="32"/>
  <c r="BB20" i="32"/>
  <c r="BB21" i="32"/>
  <c r="BB22" i="32"/>
  <c r="BB23" i="32"/>
  <c r="BB24" i="32"/>
  <c r="BB25" i="32"/>
  <c r="BB26" i="32"/>
  <c r="BB27" i="32"/>
  <c r="BB28" i="32"/>
  <c r="BB29" i="32"/>
  <c r="BB30" i="32"/>
  <c r="BB31" i="32"/>
  <c r="BB32" i="32"/>
  <c r="BB33" i="32"/>
  <c r="BB34" i="32"/>
  <c r="BB35" i="32"/>
  <c r="BB36" i="32"/>
  <c r="BB37" i="32"/>
  <c r="BB38" i="32"/>
  <c r="BB39" i="32"/>
  <c r="BB40" i="32"/>
  <c r="BB41" i="32"/>
  <c r="BB42" i="32"/>
  <c r="BB43" i="32"/>
  <c r="BB44" i="32"/>
  <c r="BB45" i="32"/>
  <c r="BB46" i="32"/>
  <c r="BB47" i="32"/>
  <c r="BB48" i="32"/>
  <c r="BB49" i="32"/>
  <c r="BB50" i="32"/>
  <c r="BB51" i="32"/>
  <c r="BB52" i="32"/>
  <c r="BB53" i="32"/>
  <c r="BB54" i="32"/>
  <c r="BB55" i="32"/>
  <c r="BB56" i="32"/>
  <c r="BB57" i="32"/>
  <c r="BB58" i="32"/>
  <c r="BB59" i="32"/>
  <c r="BB60" i="32"/>
  <c r="BB61" i="32"/>
  <c r="BB62" i="32"/>
  <c r="BB6" i="32"/>
  <c r="AY70" i="32"/>
  <c r="AY71" i="32"/>
  <c r="AY72" i="32"/>
  <c r="AY73" i="32"/>
  <c r="AY69" i="32"/>
  <c r="AY7" i="32"/>
  <c r="AY8" i="32"/>
  <c r="AY9" i="32"/>
  <c r="AY10" i="32"/>
  <c r="AY11" i="32"/>
  <c r="AY12" i="32"/>
  <c r="AY13" i="32"/>
  <c r="AY14" i="32"/>
  <c r="AY15" i="32"/>
  <c r="AY16" i="32"/>
  <c r="AY17" i="32"/>
  <c r="AY18" i="32"/>
  <c r="AY19" i="32"/>
  <c r="AY20" i="32"/>
  <c r="AY21" i="32"/>
  <c r="AY22" i="32"/>
  <c r="AY23" i="32"/>
  <c r="AY24" i="32"/>
  <c r="AY25" i="32"/>
  <c r="AY26" i="32"/>
  <c r="AY27" i="32"/>
  <c r="AY28" i="32"/>
  <c r="AY29" i="32"/>
  <c r="AY30" i="32"/>
  <c r="AY31" i="32"/>
  <c r="AY32" i="32"/>
  <c r="AY33" i="32"/>
  <c r="AY34" i="32"/>
  <c r="AY35" i="32"/>
  <c r="AY36" i="32"/>
  <c r="AY37" i="32"/>
  <c r="AY38" i="32"/>
  <c r="AY39" i="32"/>
  <c r="AY40" i="32"/>
  <c r="AY41" i="32"/>
  <c r="AY42" i="32"/>
  <c r="AY43" i="32"/>
  <c r="AY44" i="32"/>
  <c r="AY45" i="32"/>
  <c r="AY46" i="32"/>
  <c r="AY47" i="32"/>
  <c r="AY48" i="32"/>
  <c r="AY49" i="32"/>
  <c r="AY50" i="32"/>
  <c r="AY51" i="32"/>
  <c r="AY52" i="32"/>
  <c r="AY53" i="32"/>
  <c r="AY54" i="32"/>
  <c r="AY55" i="32"/>
  <c r="AY56" i="32"/>
  <c r="AY57" i="32"/>
  <c r="AY58" i="32"/>
  <c r="AY59" i="32"/>
  <c r="AY60" i="32"/>
  <c r="AY61" i="32"/>
  <c r="AY62" i="32"/>
  <c r="AY6" i="32"/>
  <c r="AV70" i="32"/>
  <c r="AV71" i="32"/>
  <c r="AV72" i="32"/>
  <c r="AV73" i="32"/>
  <c r="AV69" i="32"/>
  <c r="AV7" i="32"/>
  <c r="AV8"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 i="32"/>
  <c r="AS70" i="32"/>
  <c r="AS71" i="32"/>
  <c r="AS72" i="32"/>
  <c r="AS73" i="32"/>
  <c r="AS69" i="32"/>
  <c r="AP70" i="32"/>
  <c r="AP71" i="32"/>
  <c r="AP72" i="32"/>
  <c r="AP73" i="32"/>
  <c r="AP69" i="32"/>
  <c r="AS7" i="32"/>
  <c r="AS8"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 i="32"/>
  <c r="AP7" i="32"/>
  <c r="AP8"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M21" i="32"/>
  <c r="AC70" i="32"/>
  <c r="AC71" i="32"/>
  <c r="AC72" i="32"/>
  <c r="AC73" i="32"/>
  <c r="AC69" i="32"/>
  <c r="AC47" i="32"/>
  <c r="AC48" i="32"/>
  <c r="AC49" i="32"/>
  <c r="AC50" i="32"/>
  <c r="AC51" i="32"/>
  <c r="AC52" i="32"/>
  <c r="AC53" i="32"/>
  <c r="AC54" i="32"/>
  <c r="AC55" i="32"/>
  <c r="AC56" i="32"/>
  <c r="AC57" i="32"/>
  <c r="AC58" i="32"/>
  <c r="AC59" i="32"/>
  <c r="AC60" i="32"/>
  <c r="AC61" i="32"/>
  <c r="AC62" i="32"/>
  <c r="AC29" i="32"/>
  <c r="AC30" i="32"/>
  <c r="AC31" i="32"/>
  <c r="AC32" i="32"/>
  <c r="AC33" i="32"/>
  <c r="AC34" i="32"/>
  <c r="AC35" i="32"/>
  <c r="AC36" i="32"/>
  <c r="AC37" i="32"/>
  <c r="AC38" i="32"/>
  <c r="AC39" i="32"/>
  <c r="AC40" i="32"/>
  <c r="AC41" i="32"/>
  <c r="AC42" i="32"/>
  <c r="AC43" i="32"/>
  <c r="AC44" i="32"/>
  <c r="AC45" i="32"/>
  <c r="AC46" i="32"/>
  <c r="AC12" i="32"/>
  <c r="AC13" i="32"/>
  <c r="AC14" i="32"/>
  <c r="AC15" i="32"/>
  <c r="AC16" i="32"/>
  <c r="AC17" i="32"/>
  <c r="AC18" i="32"/>
  <c r="AC19" i="32"/>
  <c r="AC20" i="32"/>
  <c r="AC21" i="32"/>
  <c r="AC22" i="32"/>
  <c r="AC23" i="32"/>
  <c r="AC24" i="32"/>
  <c r="AC25" i="32"/>
  <c r="AC26" i="32"/>
  <c r="AC27" i="32"/>
  <c r="AC28" i="32"/>
  <c r="AC7" i="32"/>
  <c r="AC8" i="32"/>
  <c r="AC9" i="32"/>
  <c r="AC10" i="32"/>
  <c r="AC11" i="32"/>
  <c r="AC6" i="32"/>
  <c r="AA70" i="32"/>
  <c r="AA71" i="32"/>
  <c r="AA72" i="32"/>
  <c r="AA73" i="32"/>
  <c r="AA69" i="32"/>
  <c r="AA40" i="32"/>
  <c r="AA41" i="32"/>
  <c r="AA42" i="32"/>
  <c r="AA43" i="32"/>
  <c r="AA44" i="32"/>
  <c r="AA45" i="32"/>
  <c r="AA46" i="32"/>
  <c r="AA47" i="32"/>
  <c r="AA48" i="32"/>
  <c r="AA49" i="32"/>
  <c r="AA50" i="32"/>
  <c r="AA51" i="32"/>
  <c r="AA52" i="32"/>
  <c r="AA53" i="32"/>
  <c r="AA54" i="32"/>
  <c r="AA55" i="32"/>
  <c r="AA56" i="32"/>
  <c r="AA57" i="32"/>
  <c r="AA58" i="32"/>
  <c r="AA59" i="32"/>
  <c r="AA60" i="32"/>
  <c r="AA61" i="32"/>
  <c r="AA62" i="32"/>
  <c r="AA29" i="32"/>
  <c r="AA30" i="32"/>
  <c r="AA31" i="32"/>
  <c r="AA32" i="32"/>
  <c r="AA33" i="32"/>
  <c r="AA34" i="32"/>
  <c r="AA35" i="32"/>
  <c r="AA36" i="32"/>
  <c r="AA37" i="32"/>
  <c r="AA38" i="32"/>
  <c r="AA39" i="32"/>
  <c r="AA16" i="32"/>
  <c r="AA17" i="32"/>
  <c r="AA18" i="32"/>
  <c r="AA19" i="32"/>
  <c r="AA20" i="32"/>
  <c r="AA21" i="32"/>
  <c r="AA22" i="32"/>
  <c r="AA23" i="32"/>
  <c r="AA24" i="32"/>
  <c r="AA25" i="32"/>
  <c r="AA26" i="32"/>
  <c r="AA27" i="32"/>
  <c r="AA28" i="32"/>
  <c r="AA7" i="32"/>
  <c r="AA8" i="32"/>
  <c r="AA9" i="32"/>
  <c r="AA10" i="32"/>
  <c r="AA11" i="32"/>
  <c r="AA12" i="32"/>
  <c r="AA13" i="32"/>
  <c r="AA14" i="32"/>
  <c r="AA15" i="32"/>
  <c r="AA6" i="32"/>
  <c r="W70" i="32"/>
  <c r="W71" i="32"/>
  <c r="W72" i="32"/>
  <c r="W73" i="32"/>
  <c r="W69" i="32"/>
  <c r="W55" i="32"/>
  <c r="W56" i="32"/>
  <c r="W57" i="32"/>
  <c r="W58" i="32"/>
  <c r="W59" i="32"/>
  <c r="W60" i="32"/>
  <c r="W61" i="32"/>
  <c r="W62" i="32"/>
  <c r="W35" i="32"/>
  <c r="W36" i="32"/>
  <c r="W37" i="32"/>
  <c r="W38" i="32"/>
  <c r="W39" i="32"/>
  <c r="W40" i="32"/>
  <c r="W41" i="32"/>
  <c r="W42" i="32"/>
  <c r="W43" i="32"/>
  <c r="W44" i="32"/>
  <c r="W45" i="32"/>
  <c r="W46" i="32"/>
  <c r="W47" i="32"/>
  <c r="W48" i="32"/>
  <c r="W49" i="32"/>
  <c r="W50" i="32"/>
  <c r="W51" i="32"/>
  <c r="W52" i="32"/>
  <c r="W53" i="32"/>
  <c r="W54" i="32"/>
  <c r="W20" i="32"/>
  <c r="W21" i="32"/>
  <c r="W22" i="32"/>
  <c r="W23" i="32"/>
  <c r="W24" i="32"/>
  <c r="W25" i="32"/>
  <c r="W26" i="32"/>
  <c r="W27" i="32"/>
  <c r="W28" i="32"/>
  <c r="W29" i="32"/>
  <c r="W30" i="32"/>
  <c r="W31" i="32"/>
  <c r="W32" i="32"/>
  <c r="W33" i="32"/>
  <c r="W34" i="32"/>
  <c r="W11" i="32"/>
  <c r="W12" i="32"/>
  <c r="W13" i="32"/>
  <c r="W14" i="32"/>
  <c r="W15" i="32"/>
  <c r="W16" i="32"/>
  <c r="W17" i="32"/>
  <c r="W18" i="32"/>
  <c r="W19" i="32"/>
  <c r="W7" i="32"/>
  <c r="W8" i="32"/>
  <c r="W9" i="32"/>
  <c r="W10" i="32"/>
  <c r="W6" i="32"/>
  <c r="U70" i="32"/>
  <c r="U71" i="32"/>
  <c r="U72" i="32"/>
  <c r="U73" i="32"/>
  <c r="U69" i="32"/>
  <c r="U50" i="32"/>
  <c r="U51" i="32"/>
  <c r="U52" i="32"/>
  <c r="U53" i="32"/>
  <c r="U54" i="32"/>
  <c r="U55" i="32"/>
  <c r="U56" i="32"/>
  <c r="U57" i="32"/>
  <c r="U58" i="32"/>
  <c r="U59" i="32"/>
  <c r="U60" i="32"/>
  <c r="U61" i="32"/>
  <c r="U62" i="32"/>
  <c r="U35" i="32"/>
  <c r="U36" i="32"/>
  <c r="U37" i="32"/>
  <c r="U38" i="32"/>
  <c r="U39" i="32"/>
  <c r="U40" i="32"/>
  <c r="U41" i="32"/>
  <c r="U42" i="32"/>
  <c r="U43" i="32"/>
  <c r="U44" i="32"/>
  <c r="U45" i="32"/>
  <c r="U46" i="32"/>
  <c r="U47" i="32"/>
  <c r="U48" i="32"/>
  <c r="U49" i="32"/>
  <c r="U26" i="32"/>
  <c r="U27" i="32"/>
  <c r="U28" i="32"/>
  <c r="U29" i="32"/>
  <c r="U30" i="32"/>
  <c r="U31" i="32"/>
  <c r="U32" i="32"/>
  <c r="U33" i="32"/>
  <c r="U34" i="32"/>
  <c r="U13" i="32"/>
  <c r="U14" i="32"/>
  <c r="U15" i="32"/>
  <c r="U16" i="32"/>
  <c r="U17" i="32"/>
  <c r="U18" i="32"/>
  <c r="U19" i="32"/>
  <c r="U20" i="32"/>
  <c r="U21" i="32"/>
  <c r="U22" i="32"/>
  <c r="U23" i="32"/>
  <c r="U24" i="32"/>
  <c r="U25" i="32"/>
  <c r="U7" i="32"/>
  <c r="U8" i="32"/>
  <c r="U9" i="32"/>
  <c r="U10" i="32"/>
  <c r="U11" i="32"/>
  <c r="U12" i="32"/>
  <c r="U6" i="32"/>
  <c r="R70" i="32"/>
  <c r="R71" i="32"/>
  <c r="R72" i="32"/>
  <c r="R73" i="32"/>
  <c r="R69" i="32"/>
  <c r="R53" i="32"/>
  <c r="R54" i="32"/>
  <c r="R55" i="32"/>
  <c r="R56" i="32"/>
  <c r="R57" i="32"/>
  <c r="R58" i="32"/>
  <c r="R59" i="32"/>
  <c r="R60" i="32"/>
  <c r="R61" i="32"/>
  <c r="R62" i="32"/>
  <c r="R37" i="32"/>
  <c r="R38" i="32"/>
  <c r="R39" i="32"/>
  <c r="R40" i="32"/>
  <c r="R41" i="32"/>
  <c r="R42" i="32"/>
  <c r="R43" i="32"/>
  <c r="R45" i="32"/>
  <c r="R46" i="32"/>
  <c r="R47" i="32"/>
  <c r="R48" i="32"/>
  <c r="R49" i="32"/>
  <c r="R50" i="32"/>
  <c r="R51" i="32"/>
  <c r="R52" i="32"/>
  <c r="R23" i="32"/>
  <c r="R24" i="32"/>
  <c r="R25" i="32"/>
  <c r="R26" i="32"/>
  <c r="R27" i="32"/>
  <c r="R28" i="32"/>
  <c r="R29" i="32"/>
  <c r="R30" i="32"/>
  <c r="R31" i="32"/>
  <c r="R32" i="32"/>
  <c r="R33" i="32"/>
  <c r="R34" i="32"/>
  <c r="R35" i="32"/>
  <c r="R36" i="32"/>
  <c r="R11" i="32"/>
  <c r="R12" i="32"/>
  <c r="R13" i="32"/>
  <c r="R14" i="32"/>
  <c r="R15" i="32"/>
  <c r="R16" i="32"/>
  <c r="R17" i="32"/>
  <c r="R18" i="32"/>
  <c r="R19" i="32"/>
  <c r="R20" i="32"/>
  <c r="R21" i="32"/>
  <c r="R22" i="32"/>
  <c r="R7" i="32"/>
  <c r="R8" i="32"/>
  <c r="R9" i="32"/>
  <c r="R10" i="32"/>
  <c r="R6" i="32"/>
  <c r="P70" i="32"/>
  <c r="P71" i="32"/>
  <c r="P72" i="32"/>
  <c r="P73" i="32"/>
  <c r="P69"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10" i="32"/>
  <c r="P11" i="32"/>
  <c r="P12" i="32"/>
  <c r="P13" i="32"/>
  <c r="P14" i="32"/>
  <c r="P15" i="32"/>
  <c r="P16" i="32"/>
  <c r="P17" i="32"/>
  <c r="P18" i="32"/>
  <c r="P19" i="32"/>
  <c r="P20" i="32"/>
  <c r="P21" i="32"/>
  <c r="P7" i="32"/>
  <c r="P8" i="32"/>
  <c r="P9" i="32"/>
  <c r="P6" i="32"/>
  <c r="N70" i="32"/>
  <c r="N71" i="32"/>
  <c r="N72" i="32"/>
  <c r="N73" i="32"/>
  <c r="N69"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22" i="32"/>
  <c r="N23" i="32"/>
  <c r="N24" i="32"/>
  <c r="N25" i="32"/>
  <c r="N26" i="32"/>
  <c r="N27" i="32"/>
  <c r="N28" i="32"/>
  <c r="N29" i="32"/>
  <c r="N30" i="32"/>
  <c r="N31" i="32"/>
  <c r="N32" i="32"/>
  <c r="N33" i="32"/>
  <c r="N17" i="32"/>
  <c r="N18" i="32"/>
  <c r="N19" i="32"/>
  <c r="N20" i="32"/>
  <c r="N21" i="32"/>
  <c r="N13" i="32"/>
  <c r="N14" i="32"/>
  <c r="N15" i="32"/>
  <c r="N16" i="32"/>
  <c r="N8" i="32"/>
  <c r="N9" i="32"/>
  <c r="N10" i="32"/>
  <c r="N11" i="32"/>
  <c r="N12" i="32"/>
  <c r="N7" i="32"/>
  <c r="N6" i="32"/>
  <c r="H70" i="32"/>
  <c r="H71" i="32"/>
  <c r="H72" i="32"/>
  <c r="H73" i="32"/>
  <c r="H69" i="32"/>
  <c r="H55" i="32"/>
  <c r="H56" i="32"/>
  <c r="H57" i="32"/>
  <c r="H58" i="32"/>
  <c r="H59" i="32"/>
  <c r="H60" i="32"/>
  <c r="H61" i="32"/>
  <c r="H62" i="32"/>
  <c r="H42" i="32"/>
  <c r="H43" i="32"/>
  <c r="H44" i="32"/>
  <c r="H45" i="32"/>
  <c r="H46" i="32"/>
  <c r="H47" i="32"/>
  <c r="H48" i="32"/>
  <c r="H49" i="32"/>
  <c r="H50" i="32"/>
  <c r="H51" i="32"/>
  <c r="H52" i="32"/>
  <c r="H53" i="32"/>
  <c r="H54" i="32"/>
  <c r="H25" i="32"/>
  <c r="H26" i="32"/>
  <c r="H27" i="32"/>
  <c r="H28" i="32"/>
  <c r="H29" i="32"/>
  <c r="H30" i="32"/>
  <c r="H31" i="32"/>
  <c r="H32" i="32"/>
  <c r="H33" i="32"/>
  <c r="H34" i="32"/>
  <c r="H35" i="32"/>
  <c r="H36" i="32"/>
  <c r="H37" i="32"/>
  <c r="H38" i="32"/>
  <c r="H39" i="32"/>
  <c r="H40" i="32"/>
  <c r="H41" i="32"/>
  <c r="H18" i="32"/>
  <c r="H19" i="32"/>
  <c r="H20" i="32"/>
  <c r="H21" i="32"/>
  <c r="H22" i="32"/>
  <c r="H23" i="32"/>
  <c r="H24" i="32"/>
  <c r="H11" i="32"/>
  <c r="H12" i="32"/>
  <c r="H13" i="32"/>
  <c r="H14" i="32"/>
  <c r="H15" i="32"/>
  <c r="H16" i="32"/>
  <c r="H17" i="32"/>
  <c r="H9" i="32"/>
  <c r="H10" i="32"/>
  <c r="H7" i="32"/>
  <c r="H8" i="32"/>
  <c r="H6" i="32"/>
  <c r="E70" i="32"/>
  <c r="E71" i="32"/>
  <c r="E72" i="32"/>
  <c r="E73" i="32"/>
  <c r="E69" i="32"/>
  <c r="E53" i="32"/>
  <c r="E54" i="32"/>
  <c r="E55" i="32"/>
  <c r="E56" i="32"/>
  <c r="E57" i="32"/>
  <c r="E58" i="32"/>
  <c r="E59" i="32"/>
  <c r="E60" i="32"/>
  <c r="E61" i="32"/>
  <c r="E62"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15" i="32"/>
  <c r="E16" i="32"/>
  <c r="E17" i="32"/>
  <c r="E18" i="32"/>
  <c r="E19" i="32"/>
  <c r="E20" i="32"/>
  <c r="E21" i="32"/>
  <c r="E8" i="32"/>
  <c r="E9" i="32"/>
  <c r="E10" i="32"/>
  <c r="E11" i="32"/>
  <c r="E12" i="32"/>
  <c r="E13" i="32"/>
  <c r="E14" i="32"/>
  <c r="E7" i="32"/>
  <c r="E6" i="32"/>
  <c r="K7" i="28"/>
  <c r="K6" i="28"/>
  <c r="K5" i="28"/>
  <c r="K7" i="26"/>
  <c r="K6" i="26"/>
  <c r="K5" i="26"/>
  <c r="AE33" i="32"/>
  <c r="AM29" i="32" l="1"/>
  <c r="AM32" i="32"/>
  <c r="AM16" i="32"/>
  <c r="AM30" i="32"/>
  <c r="AM19" i="32"/>
  <c r="AM41" i="32"/>
  <c r="AM11" i="32"/>
  <c r="AM9" i="32"/>
  <c r="AM23" i="32"/>
  <c r="AM25" i="32"/>
  <c r="AM38" i="32"/>
  <c r="AM37" i="32"/>
  <c r="AM70" i="32"/>
  <c r="AM72" i="32"/>
  <c r="AM20" i="32"/>
  <c r="AM7" i="32"/>
  <c r="AM22" i="32"/>
  <c r="AM39" i="32"/>
  <c r="AM24" i="32"/>
  <c r="AM26" i="32"/>
  <c r="AM27" i="32"/>
  <c r="AM40" i="32"/>
  <c r="AM12" i="32"/>
  <c r="AM13" i="32"/>
  <c r="AM42" i="32"/>
  <c r="AM17" i="32"/>
  <c r="AM18" i="32"/>
  <c r="AM31" i="32"/>
  <c r="AM48" i="32"/>
  <c r="AM35" i="32"/>
  <c r="AM71" i="32"/>
  <c r="AM73" i="32"/>
  <c r="BI62" i="32"/>
  <c r="BI58" i="32"/>
  <c r="BI59" i="32"/>
  <c r="BI60" i="32"/>
  <c r="BF62" i="32"/>
  <c r="BC62" i="32"/>
  <c r="AZ62" i="32"/>
  <c r="BI50" i="32"/>
  <c r="BF50" i="32"/>
  <c r="BC50" i="32"/>
  <c r="AZ50" i="32"/>
  <c r="AW50" i="32"/>
  <c r="AT50" i="32"/>
  <c r="AQ50" i="32"/>
  <c r="AN50" i="32"/>
  <c r="AW62" i="32"/>
  <c r="AT62" i="32"/>
  <c r="AQ62" i="32"/>
  <c r="AQ58" i="32"/>
  <c r="AQ59" i="32"/>
  <c r="AQ60" i="32"/>
  <c r="AQ61" i="32"/>
  <c r="BF58" i="32" l="1"/>
  <c r="BF59" i="32"/>
  <c r="BF60" i="32"/>
  <c r="BC58" i="32"/>
  <c r="BC59" i="32"/>
  <c r="BC60" i="32"/>
  <c r="AZ58" i="32"/>
  <c r="AZ59" i="32"/>
  <c r="AZ60" i="32"/>
  <c r="AW58" i="32"/>
  <c r="AW59" i="32"/>
  <c r="AW60" i="32"/>
  <c r="AT58" i="32"/>
  <c r="AT59" i="32"/>
  <c r="AT60" i="32"/>
  <c r="BJ50" i="32" l="1" a="1"/>
  <c r="BJ50" i="32" s="1"/>
  <c r="BJ58" i="32" a="1"/>
  <c r="BJ58" i="32" s="1"/>
  <c r="BJ59" i="32" a="1"/>
  <c r="BJ59" i="32" s="1"/>
  <c r="BJ60" i="32" a="1"/>
  <c r="BJ60" i="32" s="1"/>
  <c r="BJ62" i="32" a="1"/>
  <c r="BJ62" i="32" s="1"/>
  <c r="BG50" i="32" a="1"/>
  <c r="BG50" i="32" s="1"/>
  <c r="BG58" i="32" a="1"/>
  <c r="BG58" i="32" s="1"/>
  <c r="BG59" i="32" a="1"/>
  <c r="BG59" i="32" s="1"/>
  <c r="BG60" i="32" a="1"/>
  <c r="BG60" i="32" s="1"/>
  <c r="BG62" i="32" a="1"/>
  <c r="BG62" i="32" s="1"/>
  <c r="BD50" i="32" a="1"/>
  <c r="BD50" i="32" s="1"/>
  <c r="BD58" i="32" a="1"/>
  <c r="BD58" i="32" s="1"/>
  <c r="BD59" i="32" a="1"/>
  <c r="BD59" i="32" s="1"/>
  <c r="BD60" i="32" a="1"/>
  <c r="BD60" i="32" s="1"/>
  <c r="BD62" i="32" a="1"/>
  <c r="BD62" i="32" s="1"/>
  <c r="BA50" i="32" a="1"/>
  <c r="BA50" i="32" s="1"/>
  <c r="BA58" i="32" a="1"/>
  <c r="BA58" i="32" s="1"/>
  <c r="BA59" i="32" a="1"/>
  <c r="BA59" i="32" s="1"/>
  <c r="BA60" i="32" a="1"/>
  <c r="BA60" i="32" s="1"/>
  <c r="BA62" i="32" a="1"/>
  <c r="BA62" i="32" s="1"/>
  <c r="AX50" i="32" a="1"/>
  <c r="AX50" i="32" s="1"/>
  <c r="AX58" i="32" a="1"/>
  <c r="AX58" i="32" s="1"/>
  <c r="AX59" i="32" a="1"/>
  <c r="AX59" i="32" s="1"/>
  <c r="AX60" i="32" a="1"/>
  <c r="AX60" i="32" s="1"/>
  <c r="AX62" i="32" a="1"/>
  <c r="AX62" i="32" s="1"/>
  <c r="AU58" i="32" a="1"/>
  <c r="AU58" i="32" s="1"/>
  <c r="AU59" i="32" a="1"/>
  <c r="AU59" i="32" s="1"/>
  <c r="AU60" i="32" a="1"/>
  <c r="AU60" i="32" s="1"/>
  <c r="AU62" i="32" a="1"/>
  <c r="AU62" i="32" s="1"/>
  <c r="AU50" i="32" a="1"/>
  <c r="AU50" i="32" s="1"/>
  <c r="AR50" i="32" a="1"/>
  <c r="AR50" i="32" s="1"/>
  <c r="AR58" i="32" a="1"/>
  <c r="AR58" i="32" s="1"/>
  <c r="AR59" i="32" a="1"/>
  <c r="AR59" i="32" s="1"/>
  <c r="AR60" i="32" a="1"/>
  <c r="AR60" i="32" s="1"/>
  <c r="AR62" i="32" a="1"/>
  <c r="AR62" i="32" s="1"/>
  <c r="AN62" i="32"/>
  <c r="AO62" i="32" s="1" a="1"/>
  <c r="AO62" i="32" s="1"/>
  <c r="AN58" i="32"/>
  <c r="AO58" i="32" s="1" a="1"/>
  <c r="AO58" i="32" s="1"/>
  <c r="AN59" i="32"/>
  <c r="AO59" i="32" s="1" a="1"/>
  <c r="AO59" i="32" s="1"/>
  <c r="AN60" i="32"/>
  <c r="AO60" i="32" s="1" a="1"/>
  <c r="AO60" i="32" s="1"/>
  <c r="AO50" i="32" a="1"/>
  <c r="AO50" i="32" s="1"/>
  <c r="AN6" i="32"/>
  <c r="AO6" i="32" s="1" a="1"/>
  <c r="AO6" i="32" s="1"/>
  <c r="AB57" i="32"/>
  <c r="AB56" i="32"/>
  <c r="AB55" i="32"/>
  <c r="AB53" i="32"/>
  <c r="AB52" i="32"/>
  <c r="AB51" i="32"/>
  <c r="AB15" i="32"/>
  <c r="AB13" i="32"/>
  <c r="AT11" i="32"/>
  <c r="AU11" i="32" s="1" a="1"/>
  <c r="AU11" i="32" s="1"/>
  <c r="BL62" i="32" l="1"/>
  <c r="J7" i="28"/>
  <c r="J6" i="28"/>
  <c r="J5" i="28"/>
  <c r="J7" i="27"/>
  <c r="J6" i="27"/>
  <c r="J5" i="27"/>
  <c r="J7" i="26"/>
  <c r="J6" i="26"/>
  <c r="J5" i="26"/>
  <c r="J7" i="25"/>
  <c r="J6" i="25"/>
  <c r="J5" i="25"/>
  <c r="AE17" i="32"/>
  <c r="CI61" i="32"/>
  <c r="CI57" i="32"/>
  <c r="CI56" i="32"/>
  <c r="CI55" i="32"/>
  <c r="CI54" i="32"/>
  <c r="CI53" i="32"/>
  <c r="CI52" i="32"/>
  <c r="CI51" i="32"/>
  <c r="CI49" i="32"/>
  <c r="CI48" i="32"/>
  <c r="CI47" i="32"/>
  <c r="CI46" i="32"/>
  <c r="CI45" i="32"/>
  <c r="CI44" i="32"/>
  <c r="CI43" i="32"/>
  <c r="CI42" i="32"/>
  <c r="CI41" i="32"/>
  <c r="CI40" i="32"/>
  <c r="CI39" i="32"/>
  <c r="CI38" i="32"/>
  <c r="CI37" i="32"/>
  <c r="CI36" i="32"/>
  <c r="CI35" i="32"/>
  <c r="CI34" i="32"/>
  <c r="CI33" i="32"/>
  <c r="CI32" i="32"/>
  <c r="CI31" i="32"/>
  <c r="CI30" i="32"/>
  <c r="CI29" i="32"/>
  <c r="CI28" i="32"/>
  <c r="CI27" i="32"/>
  <c r="CI26" i="32"/>
  <c r="CI25" i="32"/>
  <c r="CI24" i="32"/>
  <c r="CI23" i="32"/>
  <c r="CI22" i="32"/>
  <c r="CI21" i="32"/>
  <c r="CI20" i="32"/>
  <c r="CI19" i="32"/>
  <c r="CI18" i="32"/>
  <c r="CI17" i="32"/>
  <c r="CI16" i="32"/>
  <c r="CI15" i="32"/>
  <c r="CI14" i="32"/>
  <c r="CI13" i="32"/>
  <c r="CI12" i="32"/>
  <c r="CI11" i="32"/>
  <c r="CI10" i="32"/>
  <c r="CI9" i="32"/>
  <c r="CI8" i="32"/>
  <c r="CI7" i="32"/>
  <c r="CG56" i="32" l="1"/>
  <c r="CG55" i="32"/>
  <c r="CG61" i="32"/>
  <c r="CG57" i="32"/>
  <c r="CG54" i="32"/>
  <c r="CG53" i="32"/>
  <c r="CG52" i="32"/>
  <c r="CG51" i="32"/>
  <c r="CG49" i="32"/>
  <c r="CG48" i="32"/>
  <c r="CG47" i="32"/>
  <c r="CG46" i="32"/>
  <c r="CG45" i="32"/>
  <c r="CG44" i="32"/>
  <c r="CG43" i="32"/>
  <c r="CG42" i="32"/>
  <c r="CG41" i="32"/>
  <c r="CG40" i="32"/>
  <c r="CG39" i="32"/>
  <c r="CG38" i="32"/>
  <c r="CG37" i="32"/>
  <c r="CG36" i="32"/>
  <c r="CG35" i="32"/>
  <c r="CG34" i="32"/>
  <c r="CG33" i="32"/>
  <c r="CG32" i="32"/>
  <c r="CG31" i="32"/>
  <c r="CG30" i="32"/>
  <c r="CG29" i="32"/>
  <c r="CG28" i="32"/>
  <c r="CG27" i="32"/>
  <c r="CG26" i="32"/>
  <c r="CG25" i="32"/>
  <c r="CG24" i="32"/>
  <c r="CG23" i="32"/>
  <c r="CG22" i="32"/>
  <c r="CG21" i="32"/>
  <c r="CG20" i="32"/>
  <c r="CG19" i="32"/>
  <c r="CG18" i="32"/>
  <c r="CG17" i="32"/>
  <c r="CG16" i="32"/>
  <c r="CG15" i="32"/>
  <c r="CG14" i="32"/>
  <c r="CG13" i="32"/>
  <c r="CG12" i="32"/>
  <c r="CG11" i="32"/>
  <c r="CG10" i="32"/>
  <c r="CG9" i="32"/>
  <c r="CG8" i="32"/>
  <c r="CI73" i="32"/>
  <c r="CI72" i="32"/>
  <c r="CI71" i="32"/>
  <c r="CI70" i="32"/>
  <c r="CI69" i="32"/>
  <c r="CG72" i="32"/>
  <c r="CG71" i="32"/>
  <c r="CG70" i="32"/>
  <c r="CG73" i="32"/>
  <c r="CG69" i="32"/>
  <c r="CE7" i="32"/>
  <c r="CE8" i="32"/>
  <c r="CE9" i="32"/>
  <c r="CE10" i="32"/>
  <c r="CE11" i="32"/>
  <c r="CE12" i="32"/>
  <c r="CE13" i="32"/>
  <c r="CE14" i="32"/>
  <c r="CE15" i="32"/>
  <c r="CE16" i="32"/>
  <c r="CE17" i="32"/>
  <c r="CE18" i="32"/>
  <c r="CE19" i="32"/>
  <c r="CE20" i="32"/>
  <c r="CE21" i="32"/>
  <c r="CE22" i="32"/>
  <c r="CE23" i="32"/>
  <c r="CE24" i="32"/>
  <c r="CE25" i="32"/>
  <c r="CE26" i="32"/>
  <c r="CE27" i="32"/>
  <c r="CE28" i="32"/>
  <c r="CE29" i="32"/>
  <c r="CE30" i="32"/>
  <c r="CE31" i="32"/>
  <c r="CE32" i="32"/>
  <c r="CE33" i="32"/>
  <c r="CE34" i="32"/>
  <c r="CE35" i="32"/>
  <c r="CE36" i="32"/>
  <c r="CE37" i="32"/>
  <c r="CE38" i="32"/>
  <c r="CE39" i="32"/>
  <c r="CE40" i="32"/>
  <c r="CE41" i="32"/>
  <c r="CE42" i="32"/>
  <c r="CE43" i="32"/>
  <c r="CE44" i="32"/>
  <c r="CE45" i="32"/>
  <c r="CE46" i="32"/>
  <c r="CE47" i="32"/>
  <c r="CE48" i="32"/>
  <c r="CE49" i="32"/>
  <c r="CE51" i="32"/>
  <c r="CE52" i="32"/>
  <c r="CE53" i="32"/>
  <c r="CE54" i="32"/>
  <c r="CE55" i="32"/>
  <c r="CE56" i="32"/>
  <c r="CE57" i="32"/>
  <c r="CE61" i="32"/>
  <c r="CC7" i="32"/>
  <c r="CC8" i="32"/>
  <c r="CC9" i="32"/>
  <c r="CC10" i="32"/>
  <c r="CC11" i="32"/>
  <c r="CC12" i="32"/>
  <c r="CC13" i="32"/>
  <c r="CC14" i="32"/>
  <c r="CC15" i="32"/>
  <c r="CC16" i="32"/>
  <c r="CC17" i="32"/>
  <c r="CC18" i="32"/>
  <c r="CC19" i="32"/>
  <c r="CC20" i="32"/>
  <c r="CC21" i="32"/>
  <c r="CC22" i="32"/>
  <c r="CC23" i="32"/>
  <c r="CC24" i="32"/>
  <c r="CC25" i="32"/>
  <c r="CC26" i="32"/>
  <c r="CC27" i="32"/>
  <c r="CC28" i="32"/>
  <c r="CC29" i="32"/>
  <c r="CC30" i="32"/>
  <c r="CC31" i="32"/>
  <c r="CC32" i="32"/>
  <c r="CC33" i="32"/>
  <c r="CC34" i="32"/>
  <c r="CC35" i="32"/>
  <c r="CC36" i="32"/>
  <c r="CC37" i="32"/>
  <c r="CC38" i="32"/>
  <c r="CC39" i="32"/>
  <c r="CC40" i="32"/>
  <c r="CC41" i="32"/>
  <c r="CC42" i="32"/>
  <c r="CC43" i="32"/>
  <c r="CC44" i="32"/>
  <c r="CC45" i="32"/>
  <c r="CC46" i="32"/>
  <c r="CC47" i="32"/>
  <c r="CC48" i="32"/>
  <c r="CC49" i="32"/>
  <c r="CC51" i="32"/>
  <c r="CC52" i="32"/>
  <c r="CC53" i="32"/>
  <c r="CC54" i="32"/>
  <c r="CC55" i="32"/>
  <c r="CC56" i="32"/>
  <c r="CC57" i="32"/>
  <c r="CC61" i="32"/>
  <c r="CA7" i="32"/>
  <c r="CA8" i="32"/>
  <c r="CA9" i="32"/>
  <c r="CA10" i="32"/>
  <c r="CA11" i="32"/>
  <c r="CA12" i="32"/>
  <c r="CA13" i="32"/>
  <c r="CA14" i="32"/>
  <c r="CA15" i="32"/>
  <c r="CA16" i="32"/>
  <c r="CA17" i="32"/>
  <c r="CA18" i="32"/>
  <c r="CA19" i="32"/>
  <c r="CA20" i="32"/>
  <c r="CA21" i="32"/>
  <c r="CA22" i="32"/>
  <c r="CA23" i="32"/>
  <c r="CA24" i="32"/>
  <c r="CA25" i="32"/>
  <c r="CA26" i="32"/>
  <c r="CA27" i="32"/>
  <c r="CA28" i="32"/>
  <c r="CA29" i="32"/>
  <c r="CA30" i="32"/>
  <c r="CA31" i="32"/>
  <c r="CA32" i="32"/>
  <c r="CA33" i="32"/>
  <c r="CA34" i="32"/>
  <c r="CA35" i="32"/>
  <c r="CA36" i="32"/>
  <c r="CA37" i="32"/>
  <c r="CA38" i="32"/>
  <c r="CA39" i="32"/>
  <c r="CA40" i="32"/>
  <c r="CA41" i="32"/>
  <c r="CA42" i="32"/>
  <c r="CA43" i="32"/>
  <c r="CA44" i="32"/>
  <c r="CA45" i="32"/>
  <c r="CA46" i="32"/>
  <c r="CA47" i="32"/>
  <c r="CA48" i="32"/>
  <c r="CA49" i="32"/>
  <c r="CA51" i="32"/>
  <c r="CA52" i="32"/>
  <c r="CA53" i="32"/>
  <c r="CA54" i="32"/>
  <c r="CA55" i="32"/>
  <c r="CA56" i="32"/>
  <c r="CA57" i="32"/>
  <c r="CA61" i="32"/>
  <c r="BY7" i="32"/>
  <c r="BY8" i="32"/>
  <c r="BY9" i="32"/>
  <c r="BY10" i="32"/>
  <c r="BY11" i="32"/>
  <c r="BY12" i="32"/>
  <c r="BY13" i="32"/>
  <c r="BY14" i="32"/>
  <c r="BY15" i="32"/>
  <c r="BY16" i="32"/>
  <c r="BY17" i="32"/>
  <c r="BY18" i="32"/>
  <c r="BY19" i="32"/>
  <c r="BY20" i="32"/>
  <c r="BY21" i="32"/>
  <c r="BY22" i="32"/>
  <c r="BY23" i="32"/>
  <c r="BY24" i="32"/>
  <c r="BY25" i="32"/>
  <c r="BY26" i="32"/>
  <c r="BY27" i="32"/>
  <c r="BY28" i="32"/>
  <c r="BY29" i="32"/>
  <c r="BY30" i="32"/>
  <c r="BY31" i="32"/>
  <c r="BY32" i="32"/>
  <c r="BY33" i="32"/>
  <c r="BY34" i="32"/>
  <c r="BY35" i="32"/>
  <c r="BY36" i="32"/>
  <c r="BY37" i="32"/>
  <c r="BY38" i="32"/>
  <c r="BY39" i="32"/>
  <c r="BY40" i="32"/>
  <c r="BY41" i="32"/>
  <c r="BY42" i="32"/>
  <c r="BY43" i="32"/>
  <c r="BY44" i="32"/>
  <c r="BY45" i="32"/>
  <c r="BY46" i="32"/>
  <c r="BY47" i="32"/>
  <c r="BY48" i="32"/>
  <c r="BY49" i="32"/>
  <c r="BY51" i="32"/>
  <c r="BY52" i="32"/>
  <c r="BY53" i="32"/>
  <c r="BY54" i="32"/>
  <c r="BY55" i="32"/>
  <c r="BY56" i="32"/>
  <c r="BY57" i="32"/>
  <c r="BY61" i="32"/>
  <c r="BW7" i="32"/>
  <c r="BW8" i="32"/>
  <c r="BW9" i="32"/>
  <c r="BW10" i="32"/>
  <c r="BW11" i="32"/>
  <c r="BW12" i="32"/>
  <c r="BW13" i="32"/>
  <c r="BW14" i="32"/>
  <c r="BW15" i="32"/>
  <c r="BW16" i="32"/>
  <c r="BW17" i="32"/>
  <c r="BW18" i="32"/>
  <c r="BW19" i="32"/>
  <c r="BW20" i="32"/>
  <c r="BW21" i="32"/>
  <c r="BW22" i="32"/>
  <c r="BW23" i="32"/>
  <c r="BW24" i="32"/>
  <c r="BW25" i="32"/>
  <c r="BW26" i="32"/>
  <c r="BW27" i="32"/>
  <c r="BW28" i="32"/>
  <c r="BW29" i="32"/>
  <c r="BW30" i="32"/>
  <c r="BW31" i="32"/>
  <c r="BW32" i="32"/>
  <c r="BW33" i="32"/>
  <c r="BW34" i="32"/>
  <c r="BW35" i="32"/>
  <c r="BW36" i="32"/>
  <c r="BW37" i="32"/>
  <c r="BW38" i="32"/>
  <c r="BW39" i="32"/>
  <c r="BW40" i="32"/>
  <c r="BW41" i="32"/>
  <c r="BW42" i="32"/>
  <c r="BW43" i="32"/>
  <c r="BW44" i="32"/>
  <c r="BW45" i="32"/>
  <c r="BW46" i="32"/>
  <c r="BW47" i="32"/>
  <c r="BW48" i="32"/>
  <c r="BW49" i="32"/>
  <c r="BW51" i="32"/>
  <c r="BW52" i="32"/>
  <c r="BW53" i="32"/>
  <c r="BW54" i="32"/>
  <c r="BW55" i="32"/>
  <c r="BW56" i="32"/>
  <c r="BW57" i="32"/>
  <c r="BW61" i="32"/>
  <c r="BU7" i="32"/>
  <c r="BU8" i="32"/>
  <c r="BU9" i="32"/>
  <c r="BU10" i="32"/>
  <c r="BU11" i="32"/>
  <c r="BU12" i="32"/>
  <c r="BU13" i="32"/>
  <c r="BU14" i="32"/>
  <c r="BU15" i="32"/>
  <c r="BU16" i="32"/>
  <c r="BU17" i="32"/>
  <c r="BU18" i="32"/>
  <c r="BU19" i="32"/>
  <c r="BU20" i="32"/>
  <c r="BU21" i="32"/>
  <c r="BU22" i="32"/>
  <c r="BU23" i="32"/>
  <c r="BU24" i="32"/>
  <c r="BU25" i="32"/>
  <c r="BU26" i="32"/>
  <c r="BU27" i="32"/>
  <c r="BU28" i="32"/>
  <c r="BU29" i="32"/>
  <c r="BU30" i="32"/>
  <c r="BU31" i="32"/>
  <c r="BU32" i="32"/>
  <c r="BU33" i="32"/>
  <c r="BU34" i="32"/>
  <c r="BU35" i="32"/>
  <c r="BU36" i="32"/>
  <c r="BU37" i="32"/>
  <c r="BU38" i="32"/>
  <c r="BU39" i="32"/>
  <c r="BU40" i="32"/>
  <c r="BU41" i="32"/>
  <c r="BU42" i="32"/>
  <c r="BU43" i="32"/>
  <c r="BU44" i="32"/>
  <c r="BU45" i="32"/>
  <c r="BU46" i="32"/>
  <c r="BU47" i="32"/>
  <c r="BU48" i="32"/>
  <c r="BU49" i="32"/>
  <c r="BU51" i="32"/>
  <c r="BU52" i="32"/>
  <c r="BU53" i="32"/>
  <c r="BU54" i="32"/>
  <c r="BU55" i="32"/>
  <c r="BU56" i="32"/>
  <c r="BU57" i="32"/>
  <c r="BU61" i="32"/>
  <c r="BS7" i="32"/>
  <c r="BS8" i="32"/>
  <c r="BS9" i="32"/>
  <c r="BS10" i="32"/>
  <c r="BS11" i="32"/>
  <c r="BS12" i="32"/>
  <c r="BS13" i="32"/>
  <c r="BS14" i="32"/>
  <c r="BS15" i="32"/>
  <c r="BS16" i="32"/>
  <c r="BS17" i="32"/>
  <c r="BS18" i="32"/>
  <c r="BS19" i="32"/>
  <c r="BS20" i="32"/>
  <c r="BS21" i="32"/>
  <c r="BS22" i="32"/>
  <c r="BS23" i="32"/>
  <c r="BS24" i="32"/>
  <c r="BS25" i="32"/>
  <c r="BS26" i="32"/>
  <c r="BS27" i="32"/>
  <c r="BS28" i="32"/>
  <c r="BS29" i="32"/>
  <c r="BS30" i="32"/>
  <c r="BS31" i="32"/>
  <c r="BS32" i="32"/>
  <c r="BS33" i="32"/>
  <c r="BS34" i="32"/>
  <c r="BS35" i="32"/>
  <c r="BS36" i="32"/>
  <c r="BS37" i="32"/>
  <c r="BS38" i="32"/>
  <c r="BS39" i="32"/>
  <c r="BS40" i="32"/>
  <c r="BS41" i="32"/>
  <c r="BS42" i="32"/>
  <c r="BS43" i="32"/>
  <c r="BS44" i="32"/>
  <c r="BS45" i="32"/>
  <c r="BS46" i="32"/>
  <c r="BS47" i="32"/>
  <c r="BS48" i="32"/>
  <c r="BS49" i="32"/>
  <c r="BS51" i="32"/>
  <c r="BS52" i="32"/>
  <c r="BS53" i="32"/>
  <c r="BS54" i="32"/>
  <c r="BS55" i="32"/>
  <c r="BS56" i="32"/>
  <c r="BS57" i="32"/>
  <c r="BS61" i="32"/>
  <c r="CE6" i="32"/>
  <c r="CC6" i="32"/>
  <c r="CA6" i="32"/>
  <c r="BY6" i="32"/>
  <c r="BW6" i="32"/>
  <c r="BU6" i="32"/>
  <c r="CI6" i="32"/>
  <c r="CG7" i="32"/>
  <c r="CG6" i="32"/>
  <c r="BS6" i="32"/>
  <c r="CE70" i="32"/>
  <c r="CE71" i="32"/>
  <c r="CE72" i="32"/>
  <c r="CE73" i="32"/>
  <c r="CC70" i="32"/>
  <c r="CC71" i="32"/>
  <c r="CC72" i="32"/>
  <c r="CC73" i="32"/>
  <c r="CA70" i="32"/>
  <c r="CA71" i="32"/>
  <c r="CA72" i="32"/>
  <c r="CA73" i="32"/>
  <c r="BY70" i="32"/>
  <c r="BY71" i="32"/>
  <c r="BY72" i="32"/>
  <c r="BY73" i="32"/>
  <c r="BW70" i="32"/>
  <c r="BW71" i="32"/>
  <c r="BW72" i="32"/>
  <c r="BW73" i="32"/>
  <c r="BU70" i="32"/>
  <c r="BU71" i="32"/>
  <c r="BU72" i="32"/>
  <c r="BU73" i="32"/>
  <c r="CE69" i="32"/>
  <c r="CC69" i="32"/>
  <c r="CA69" i="32"/>
  <c r="BY69" i="32"/>
  <c r="BW69" i="32"/>
  <c r="BU69" i="32"/>
  <c r="BS70" i="32"/>
  <c r="BS71" i="32"/>
  <c r="BS72" i="32"/>
  <c r="BS73" i="32"/>
  <c r="BS69" i="32"/>
  <c r="BI56" i="32" l="1"/>
  <c r="BJ56" i="32" s="1" a="1"/>
  <c r="BJ56" i="32" s="1"/>
  <c r="BI39" i="32"/>
  <c r="BJ39" i="32" s="1" a="1"/>
  <c r="BJ39" i="32" s="1"/>
  <c r="BI41" i="32"/>
  <c r="BJ41" i="32" s="1" a="1"/>
  <c r="BJ41" i="32" s="1"/>
  <c r="BI40" i="32"/>
  <c r="BJ40" i="32" s="1" a="1"/>
  <c r="BJ40" i="32" s="1"/>
  <c r="BI38" i="32"/>
  <c r="BJ38" i="32" s="1" a="1"/>
  <c r="BJ38" i="32" s="1"/>
  <c r="BI33" i="32"/>
  <c r="BJ33" i="32" s="1" a="1"/>
  <c r="BJ33" i="32" s="1"/>
  <c r="BI32" i="32"/>
  <c r="BJ32" i="32" s="1" a="1"/>
  <c r="BJ32" i="32" s="1"/>
  <c r="BI31" i="32"/>
  <c r="BJ31" i="32" s="1" a="1"/>
  <c r="BJ31" i="32" s="1"/>
  <c r="BI28" i="32"/>
  <c r="BJ28" i="32" s="1" a="1"/>
  <c r="BJ28" i="32" s="1"/>
  <c r="BI27" i="32"/>
  <c r="BJ27" i="32" s="1" a="1"/>
  <c r="BJ27" i="32" s="1"/>
  <c r="BI25" i="32"/>
  <c r="BJ25" i="32" s="1" a="1"/>
  <c r="BJ25" i="32" s="1"/>
  <c r="BI24" i="32"/>
  <c r="BJ24" i="32" s="1" a="1"/>
  <c r="BJ24" i="32" s="1"/>
  <c r="BI22" i="32"/>
  <c r="BJ22" i="32" s="1" a="1"/>
  <c r="BJ22" i="32" s="1"/>
  <c r="BI19" i="32"/>
  <c r="BJ19" i="32" s="1" a="1"/>
  <c r="BJ19" i="32" s="1"/>
  <c r="BI16" i="32"/>
  <c r="BJ16" i="32" s="1" a="1"/>
  <c r="BJ16" i="32" s="1"/>
  <c r="BI15" i="32"/>
  <c r="BJ15" i="32" s="1" a="1"/>
  <c r="BJ15" i="32" s="1"/>
  <c r="BI14" i="32"/>
  <c r="BJ14" i="32" s="1" a="1"/>
  <c r="BJ14" i="32" s="1"/>
  <c r="BI11" i="32"/>
  <c r="BJ11" i="32" s="1" a="1"/>
  <c r="BJ11" i="32" s="1"/>
  <c r="BI10" i="32"/>
  <c r="BJ10" i="32" s="1" a="1"/>
  <c r="BJ10" i="32" s="1"/>
  <c r="BI8" i="32"/>
  <c r="BJ8" i="32" s="1" a="1"/>
  <c r="BJ8" i="32" s="1"/>
  <c r="BF56" i="32"/>
  <c r="BG56" i="32" s="1" a="1"/>
  <c r="BG56" i="32" s="1"/>
  <c r="BF55" i="32"/>
  <c r="BG55" i="32" s="1" a="1"/>
  <c r="BG55" i="32" s="1"/>
  <c r="BF41" i="32"/>
  <c r="BG41" i="32" s="1" a="1"/>
  <c r="BG41" i="32" s="1"/>
  <c r="BF40" i="32"/>
  <c r="BG40" i="32" s="1" a="1"/>
  <c r="BG40" i="32" s="1"/>
  <c r="BF39" i="32"/>
  <c r="BG39" i="32" s="1" a="1"/>
  <c r="BG39" i="32" s="1"/>
  <c r="BF38" i="32"/>
  <c r="BG38" i="32" s="1" a="1"/>
  <c r="BG38" i="32" s="1"/>
  <c r="BF33" i="32"/>
  <c r="BG33" i="32" s="1" a="1"/>
  <c r="BG33" i="32" s="1"/>
  <c r="BF32" i="32"/>
  <c r="BG32" i="32" s="1" a="1"/>
  <c r="BG32" i="32" s="1"/>
  <c r="BF31" i="32"/>
  <c r="BG31" i="32" s="1" a="1"/>
  <c r="BG31" i="32" s="1"/>
  <c r="BF28" i="32"/>
  <c r="BG28" i="32" s="1" a="1"/>
  <c r="BG28" i="32" s="1"/>
  <c r="BF27" i="32"/>
  <c r="BG27" i="32" s="1" a="1"/>
  <c r="BG27" i="32" s="1"/>
  <c r="BF25" i="32"/>
  <c r="BG25" i="32" s="1" a="1"/>
  <c r="BG25" i="32" s="1"/>
  <c r="BF24" i="32"/>
  <c r="BG24" i="32" s="1" a="1"/>
  <c r="BG24" i="32" s="1"/>
  <c r="BF22" i="32"/>
  <c r="BG22" i="32" s="1" a="1"/>
  <c r="BG22" i="32" s="1"/>
  <c r="BF19" i="32"/>
  <c r="BG19" i="32" s="1" a="1"/>
  <c r="BG19" i="32" s="1"/>
  <c r="BF16" i="32"/>
  <c r="BG16" i="32" s="1" a="1"/>
  <c r="BG16" i="32" s="1"/>
  <c r="BF15" i="32"/>
  <c r="BG15" i="32" s="1" a="1"/>
  <c r="BG15" i="32" s="1"/>
  <c r="BF14" i="32"/>
  <c r="BG14" i="32" s="1" a="1"/>
  <c r="BG14" i="32" s="1"/>
  <c r="BF11" i="32"/>
  <c r="BG11" i="32" s="1" a="1"/>
  <c r="BG11" i="32" s="1"/>
  <c r="BF10" i="32"/>
  <c r="BG10" i="32" s="1" a="1"/>
  <c r="BG10" i="32" s="1"/>
  <c r="BF8" i="32"/>
  <c r="BG8" i="32" s="1" a="1"/>
  <c r="BG8" i="32" s="1"/>
  <c r="AW73" i="32"/>
  <c r="AW72" i="32"/>
  <c r="BC56" i="32"/>
  <c r="BD56" i="32" s="1" a="1"/>
  <c r="BD56" i="32" s="1"/>
  <c r="BC41" i="32"/>
  <c r="BD41" i="32" s="1" a="1"/>
  <c r="BD41" i="32" s="1"/>
  <c r="BC40" i="32"/>
  <c r="BD40" i="32" s="1" a="1"/>
  <c r="BD40" i="32" s="1"/>
  <c r="BC38" i="32"/>
  <c r="BD38" i="32" s="1" a="1"/>
  <c r="BD38" i="32" s="1"/>
  <c r="BC33" i="32"/>
  <c r="BD33" i="32" s="1" a="1"/>
  <c r="BD33" i="32" s="1"/>
  <c r="BC32" i="32"/>
  <c r="BD32" i="32" s="1" a="1"/>
  <c r="BD32" i="32" s="1"/>
  <c r="BC31" i="32"/>
  <c r="BD31" i="32" s="1" a="1"/>
  <c r="BD31" i="32" s="1"/>
  <c r="BC28" i="32"/>
  <c r="BD28" i="32" s="1" a="1"/>
  <c r="BD28" i="32" s="1"/>
  <c r="BC27" i="32"/>
  <c r="BD27" i="32" s="1" a="1"/>
  <c r="BD27" i="32" s="1"/>
  <c r="BC25" i="32"/>
  <c r="BD25" i="32" s="1" a="1"/>
  <c r="BD25" i="32" s="1"/>
  <c r="BC24" i="32"/>
  <c r="BD24" i="32" s="1" a="1"/>
  <c r="BD24" i="32" s="1"/>
  <c r="BC22" i="32"/>
  <c r="BD22" i="32" s="1" a="1"/>
  <c r="BD22" i="32" s="1"/>
  <c r="BC19" i="32"/>
  <c r="BD19" i="32" s="1" a="1"/>
  <c r="BD19" i="32" s="1"/>
  <c r="BC16" i="32"/>
  <c r="BD16" i="32" s="1" a="1"/>
  <c r="BD16" i="32" s="1"/>
  <c r="BC15" i="32"/>
  <c r="BD15" i="32" s="1" a="1"/>
  <c r="BD15" i="32" s="1"/>
  <c r="BC14" i="32"/>
  <c r="BD14" i="32" s="1" a="1"/>
  <c r="BD14" i="32" s="1"/>
  <c r="BC11" i="32"/>
  <c r="BD11" i="32" s="1" a="1"/>
  <c r="BD11" i="32" s="1"/>
  <c r="BC10" i="32"/>
  <c r="BD10" i="32" s="1" a="1"/>
  <c r="BD10" i="32" s="1"/>
  <c r="BC8" i="32"/>
  <c r="BD8" i="32" s="1" a="1"/>
  <c r="BD8" i="32" s="1"/>
  <c r="AZ56" i="32"/>
  <c r="BA56" i="32" s="1" a="1"/>
  <c r="BA56" i="32" s="1"/>
  <c r="AZ41" i="32"/>
  <c r="BA41" i="32" s="1" a="1"/>
  <c r="BA41" i="32" s="1"/>
  <c r="AZ40" i="32"/>
  <c r="BA40" i="32" s="1" a="1"/>
  <c r="BA40" i="32" s="1"/>
  <c r="AZ38" i="32"/>
  <c r="BA38" i="32" s="1" a="1"/>
  <c r="BA38" i="32" s="1"/>
  <c r="AZ33" i="32"/>
  <c r="BA33" i="32" s="1" a="1"/>
  <c r="BA33" i="32" s="1"/>
  <c r="AZ32" i="32"/>
  <c r="BA32" i="32" s="1" a="1"/>
  <c r="BA32" i="32" s="1"/>
  <c r="AZ31" i="32"/>
  <c r="BA31" i="32" s="1" a="1"/>
  <c r="BA31" i="32" s="1"/>
  <c r="AZ28" i="32"/>
  <c r="BA28" i="32" s="1" a="1"/>
  <c r="BA28" i="32" s="1"/>
  <c r="AZ27" i="32"/>
  <c r="BA27" i="32" s="1" a="1"/>
  <c r="BA27" i="32" s="1"/>
  <c r="AZ25" i="32"/>
  <c r="BA25" i="32" s="1" a="1"/>
  <c r="BA25" i="32" s="1"/>
  <c r="AZ24" i="32"/>
  <c r="BA24" i="32" s="1" a="1"/>
  <c r="BA24" i="32" s="1"/>
  <c r="AZ22" i="32"/>
  <c r="BA22" i="32" s="1" a="1"/>
  <c r="BA22" i="32" s="1"/>
  <c r="AZ19" i="32"/>
  <c r="BA19" i="32" s="1" a="1"/>
  <c r="BA19" i="32" s="1"/>
  <c r="AZ16" i="32"/>
  <c r="BA16" i="32" s="1" a="1"/>
  <c r="BA16" i="32" s="1"/>
  <c r="AZ15" i="32"/>
  <c r="BA15" i="32" s="1" a="1"/>
  <c r="BA15" i="32" s="1"/>
  <c r="AZ14" i="32"/>
  <c r="BA14" i="32" s="1" a="1"/>
  <c r="BA14" i="32" s="1"/>
  <c r="AZ11" i="32"/>
  <c r="BA11" i="32" s="1" a="1"/>
  <c r="BA11" i="32" s="1"/>
  <c r="AZ10" i="32"/>
  <c r="BA10" i="32" s="1" a="1"/>
  <c r="BA10" i="32" s="1"/>
  <c r="AZ8" i="32"/>
  <c r="BA8" i="32" s="1" a="1"/>
  <c r="BA8" i="32" s="1"/>
  <c r="AW56" i="32"/>
  <c r="AX56" i="32" s="1" a="1"/>
  <c r="AX56" i="32" s="1"/>
  <c r="AW41" i="32"/>
  <c r="AX41" i="32" s="1" a="1"/>
  <c r="AX41" i="32" s="1"/>
  <c r="AW40" i="32"/>
  <c r="AX40" i="32" s="1" a="1"/>
  <c r="AX40" i="32" s="1"/>
  <c r="AW38" i="32"/>
  <c r="AX38" i="32" s="1" a="1"/>
  <c r="AX38" i="32" s="1"/>
  <c r="AW33" i="32"/>
  <c r="AX33" i="32" s="1" a="1"/>
  <c r="AX33" i="32" s="1"/>
  <c r="AW32" i="32"/>
  <c r="AX32" i="32" s="1" a="1"/>
  <c r="AX32" i="32" s="1"/>
  <c r="AW31" i="32"/>
  <c r="AX31" i="32" s="1" a="1"/>
  <c r="AX31" i="32" s="1"/>
  <c r="AW28" i="32"/>
  <c r="AX28" i="32" s="1" a="1"/>
  <c r="AX28" i="32" s="1"/>
  <c r="AW27" i="32"/>
  <c r="AX27" i="32" s="1" a="1"/>
  <c r="AX27" i="32" s="1"/>
  <c r="AW25" i="32"/>
  <c r="AX25" i="32" s="1" a="1"/>
  <c r="AX25" i="32" s="1"/>
  <c r="AW24" i="32"/>
  <c r="AX24" i="32" s="1" a="1"/>
  <c r="AX24" i="32" s="1"/>
  <c r="AW22" i="32"/>
  <c r="AX22" i="32" s="1" a="1"/>
  <c r="AX22" i="32" s="1"/>
  <c r="AW20" i="32"/>
  <c r="AX20" i="32" s="1" a="1"/>
  <c r="AX20" i="32" s="1"/>
  <c r="AW19" i="32"/>
  <c r="AX19" i="32" s="1" a="1"/>
  <c r="AX19" i="32" s="1"/>
  <c r="AW16" i="32"/>
  <c r="AX16" i="32" s="1" a="1"/>
  <c r="AX16" i="32" s="1"/>
  <c r="AW15" i="32"/>
  <c r="AX15" i="32" s="1" a="1"/>
  <c r="AX15" i="32" s="1"/>
  <c r="AW14" i="32"/>
  <c r="AX14" i="32" s="1" a="1"/>
  <c r="AX14" i="32" s="1"/>
  <c r="AW11" i="32"/>
  <c r="AX11" i="32" s="1" a="1"/>
  <c r="AX11" i="32" s="1"/>
  <c r="AW10" i="32"/>
  <c r="AX10" i="32" s="1" a="1"/>
  <c r="AX10" i="32" s="1"/>
  <c r="AW8" i="32"/>
  <c r="AX8" i="32" s="1" a="1"/>
  <c r="AX8" i="32" s="1"/>
  <c r="AT56" i="32"/>
  <c r="AU56" i="32" s="1" a="1"/>
  <c r="AU56" i="32" s="1"/>
  <c r="AT41" i="32"/>
  <c r="AU41" i="32" s="1" a="1"/>
  <c r="AU41" i="32" s="1"/>
  <c r="AT40" i="32"/>
  <c r="AU40" i="32" s="1" a="1"/>
  <c r="AU40" i="32" s="1"/>
  <c r="AT38" i="32"/>
  <c r="AU38" i="32" s="1" a="1"/>
  <c r="AU38" i="32" s="1"/>
  <c r="AT33" i="32"/>
  <c r="AU33" i="32" s="1" a="1"/>
  <c r="AU33" i="32" s="1"/>
  <c r="AT32" i="32"/>
  <c r="AU32" i="32" s="1" a="1"/>
  <c r="AU32" i="32" s="1"/>
  <c r="AT31" i="32"/>
  <c r="AU31" i="32" s="1" a="1"/>
  <c r="AU31" i="32" s="1"/>
  <c r="AT28" i="32"/>
  <c r="AU28" i="32" s="1" a="1"/>
  <c r="AU28" i="32" s="1"/>
  <c r="AT27" i="32"/>
  <c r="AU27" i="32" s="1" a="1"/>
  <c r="AU27" i="32" s="1"/>
  <c r="AT25" i="32"/>
  <c r="AU25" i="32" s="1" a="1"/>
  <c r="AU25" i="32" s="1"/>
  <c r="AT24" i="32"/>
  <c r="AU24" i="32" s="1" a="1"/>
  <c r="AU24" i="32" s="1"/>
  <c r="AT22" i="32"/>
  <c r="AU22" i="32" s="1" a="1"/>
  <c r="AU22" i="32" s="1"/>
  <c r="AT19" i="32"/>
  <c r="AU19" i="32" s="1" a="1"/>
  <c r="AU19" i="32" s="1"/>
  <c r="AT16" i="32"/>
  <c r="AU16" i="32" s="1" a="1"/>
  <c r="AU16" i="32" s="1"/>
  <c r="AT15" i="32"/>
  <c r="AU15" i="32" s="1" a="1"/>
  <c r="AU15" i="32" s="1"/>
  <c r="AT14" i="32"/>
  <c r="AU14" i="32" s="1" a="1"/>
  <c r="AU14" i="32" s="1"/>
  <c r="AT10" i="32"/>
  <c r="AU10" i="32" s="1" a="1"/>
  <c r="AU10" i="32" s="1"/>
  <c r="AT8" i="32"/>
  <c r="AU8" i="32" s="1" a="1"/>
  <c r="AU8" i="32" s="1"/>
  <c r="AQ56" i="32"/>
  <c r="AR56" i="32" s="1" a="1"/>
  <c r="AR56" i="32" s="1"/>
  <c r="AQ41" i="32"/>
  <c r="AR41" i="32" s="1" a="1"/>
  <c r="AR41" i="32" s="1"/>
  <c r="AQ40" i="32"/>
  <c r="AR40" i="32" s="1" a="1"/>
  <c r="AR40" i="32" s="1"/>
  <c r="AQ38" i="32"/>
  <c r="AR38" i="32" s="1" a="1"/>
  <c r="AR38" i="32" s="1"/>
  <c r="AQ33" i="32"/>
  <c r="AR33" i="32" s="1" a="1"/>
  <c r="AR33" i="32" s="1"/>
  <c r="AQ32" i="32"/>
  <c r="AR32" i="32" s="1" a="1"/>
  <c r="AR32" i="32" s="1"/>
  <c r="AQ31" i="32"/>
  <c r="AR31" i="32" s="1" a="1"/>
  <c r="AR31" i="32" s="1"/>
  <c r="AQ28" i="32"/>
  <c r="AR28" i="32" s="1" a="1"/>
  <c r="AR28" i="32" s="1"/>
  <c r="AQ27" i="32"/>
  <c r="AR27" i="32" s="1" a="1"/>
  <c r="AR27" i="32" s="1"/>
  <c r="AQ25" i="32"/>
  <c r="AR25" i="32" s="1" a="1"/>
  <c r="AR25" i="32" s="1"/>
  <c r="AQ24" i="32"/>
  <c r="AR24" i="32" s="1" a="1"/>
  <c r="AR24" i="32" s="1"/>
  <c r="AQ22" i="32"/>
  <c r="AR22" i="32" s="1" a="1"/>
  <c r="AR22" i="32" s="1"/>
  <c r="AQ19" i="32"/>
  <c r="AR19" i="32" s="1" a="1"/>
  <c r="AR19" i="32" s="1"/>
  <c r="AN27" i="32"/>
  <c r="AO27" i="32" s="1" a="1"/>
  <c r="AO27" i="32" s="1"/>
  <c r="AN19" i="32"/>
  <c r="AO19" i="32" s="1" a="1"/>
  <c r="AO19" i="32" s="1"/>
  <c r="AQ16" i="32"/>
  <c r="AR16" i="32" s="1" a="1"/>
  <c r="AR16" i="32" s="1"/>
  <c r="AQ15" i="32"/>
  <c r="AR15" i="32" s="1" a="1"/>
  <c r="AR15" i="32" s="1"/>
  <c r="AQ14" i="32"/>
  <c r="AR14" i="32" s="1" a="1"/>
  <c r="AR14" i="32" s="1"/>
  <c r="AQ10" i="32"/>
  <c r="AR10" i="32" s="1" a="1"/>
  <c r="AR10" i="32" s="1"/>
  <c r="AQ11" i="32"/>
  <c r="AR11" i="32" s="1" a="1"/>
  <c r="AR11" i="32" s="1"/>
  <c r="AQ8" i="32"/>
  <c r="AR8" i="32" s="1" a="1"/>
  <c r="AR8" i="32" s="1"/>
  <c r="AN56" i="32"/>
  <c r="AO56" i="32" s="1" a="1"/>
  <c r="AO56" i="32" s="1"/>
  <c r="AN41" i="32"/>
  <c r="AO41" i="32" s="1" a="1"/>
  <c r="AO41" i="32" s="1"/>
  <c r="AN40" i="32"/>
  <c r="AO40" i="32" s="1" a="1"/>
  <c r="AO40" i="32" s="1"/>
  <c r="AN38" i="32"/>
  <c r="AO38" i="32" s="1" a="1"/>
  <c r="AO38" i="32" s="1"/>
  <c r="AN33" i="32"/>
  <c r="AO33" i="32" s="1" a="1"/>
  <c r="AO33" i="32" s="1"/>
  <c r="AN32" i="32"/>
  <c r="AO32" i="32" s="1" a="1"/>
  <c r="AO32" i="32" s="1"/>
  <c r="AN31" i="32"/>
  <c r="AO31" i="32" s="1" a="1"/>
  <c r="AO31" i="32" s="1"/>
  <c r="AN28" i="32"/>
  <c r="AO28" i="32" s="1" a="1"/>
  <c r="AO28" i="32" s="1"/>
  <c r="AN25" i="32"/>
  <c r="AO25" i="32" s="1" a="1"/>
  <c r="AO25" i="32" s="1"/>
  <c r="AN24" i="32"/>
  <c r="AO24" i="32" s="1" a="1"/>
  <c r="AO24" i="32" s="1"/>
  <c r="AN22" i="32"/>
  <c r="AO22" i="32" s="1" a="1"/>
  <c r="AO22" i="32" s="1"/>
  <c r="AN16" i="32"/>
  <c r="AO16" i="32" s="1" a="1"/>
  <c r="AO16" i="32" s="1"/>
  <c r="AN15" i="32"/>
  <c r="AO15" i="32" s="1" a="1"/>
  <c r="AO15" i="32" s="1"/>
  <c r="AN14" i="32"/>
  <c r="AO14" i="32" s="1" a="1"/>
  <c r="AO14" i="32" s="1"/>
  <c r="AN11" i="32"/>
  <c r="AO11" i="32" s="1" a="1"/>
  <c r="AO11" i="32" s="1"/>
  <c r="AN8" i="32"/>
  <c r="AO8" i="32" s="1" a="1"/>
  <c r="AO8" i="32" s="1"/>
  <c r="AN10" i="32"/>
  <c r="AO10" i="32" s="1" a="1"/>
  <c r="AO10" i="32" s="1"/>
  <c r="C72" i="14"/>
  <c r="D72" i="14"/>
  <c r="F72" i="14"/>
  <c r="G72" i="14"/>
  <c r="H72" i="14"/>
  <c r="I72" i="14"/>
  <c r="J72" i="14"/>
  <c r="E72" i="14"/>
  <c r="B61" i="14"/>
  <c r="BL11" i="32" l="1"/>
  <c r="BL25" i="32"/>
  <c r="BL31" i="32"/>
  <c r="BL15" i="32"/>
  <c r="BL16" i="32"/>
  <c r="BL14" i="32"/>
  <c r="BL27" i="32"/>
  <c r="BL28" i="32"/>
  <c r="BL19" i="32"/>
  <c r="BL22" i="32"/>
  <c r="BL8" i="32"/>
  <c r="BL10" i="32"/>
  <c r="BL24" i="32"/>
  <c r="AM69" i="32"/>
  <c r="AM6" i="32"/>
  <c r="AE6" i="32"/>
  <c r="AK70" i="32" l="1"/>
  <c r="AK71" i="32"/>
  <c r="AK72" i="32"/>
  <c r="AK73" i="32"/>
  <c r="AK69" i="32"/>
  <c r="AI70" i="32"/>
  <c r="AI71" i="32"/>
  <c r="AI72" i="32"/>
  <c r="AI73" i="32"/>
  <c r="AI69" i="32"/>
  <c r="AG70" i="32"/>
  <c r="AG71" i="32"/>
  <c r="AG72" i="32"/>
  <c r="AG73" i="32"/>
  <c r="AG69" i="32"/>
  <c r="AE73" i="32"/>
  <c r="AK7" i="32"/>
  <c r="AK6" i="32"/>
  <c r="AI6" i="32"/>
  <c r="AG7" i="32"/>
  <c r="AG29" i="32"/>
  <c r="AG30" i="32"/>
  <c r="AG6" i="32"/>
  <c r="AE12" i="32"/>
  <c r="AE13" i="32"/>
  <c r="AE16" i="32"/>
  <c r="AE18" i="32"/>
  <c r="AE20" i="32"/>
  <c r="AE21" i="32"/>
  <c r="AE22" i="32"/>
  <c r="AE23" i="32"/>
  <c r="AE24" i="32"/>
  <c r="AE26" i="32"/>
  <c r="AE27" i="32"/>
  <c r="AE29" i="32"/>
  <c r="AE30" i="32"/>
  <c r="AE32" i="32"/>
  <c r="AE34" i="32"/>
  <c r="AE35" i="32"/>
  <c r="AE36" i="32"/>
  <c r="AE37" i="32"/>
  <c r="AE38" i="32"/>
  <c r="AE39" i="32"/>
  <c r="AE42" i="32"/>
  <c r="AE43" i="32"/>
  <c r="AE44" i="32"/>
  <c r="AE45" i="32"/>
  <c r="AE46" i="32"/>
  <c r="AE47" i="32"/>
  <c r="AE48" i="32"/>
  <c r="AE49" i="32"/>
  <c r="AE51" i="32"/>
  <c r="AE52" i="32"/>
  <c r="AE53" i="32"/>
  <c r="AE54" i="32"/>
  <c r="AE55" i="32"/>
  <c r="AE56" i="32"/>
  <c r="AE57" i="32"/>
  <c r="AE61" i="32"/>
  <c r="AE7" i="32"/>
  <c r="AE9" i="32"/>
  <c r="AE10" i="32"/>
  <c r="AE71" i="32" l="1"/>
  <c r="AE72" i="32"/>
  <c r="AE69" i="32"/>
  <c r="AE70" i="32"/>
  <c r="G7" i="32"/>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I7" i="25"/>
  <c r="I6" i="25"/>
  <c r="I5" i="25"/>
  <c r="I7" i="26"/>
  <c r="I6" i="26"/>
  <c r="I5" i="26"/>
  <c r="AB62" i="32" l="1"/>
  <c r="I7" i="28"/>
  <c r="I6" i="28"/>
  <c r="I5" i="28"/>
  <c r="I7" i="27"/>
  <c r="I6" i="27"/>
  <c r="I5" i="27"/>
  <c r="BI73" i="32"/>
  <c r="BJ73" i="32" s="1"/>
  <c r="BF73" i="32"/>
  <c r="BG73" i="32" s="1"/>
  <c r="BC73" i="32"/>
  <c r="BD73" i="32" s="1"/>
  <c r="AZ73" i="32"/>
  <c r="BA73" i="32" s="1"/>
  <c r="AX73" i="32"/>
  <c r="AT73" i="32"/>
  <c r="AU73" i="32" s="1"/>
  <c r="AQ73" i="32"/>
  <c r="AR73" i="32" s="1"/>
  <c r="AN73" i="32"/>
  <c r="AO73" i="32" s="1"/>
  <c r="AB73" i="32"/>
  <c r="Y73" i="32"/>
  <c r="V73" i="32"/>
  <c r="X73" i="32" s="1"/>
  <c r="T73" i="32"/>
  <c r="Q73" i="32"/>
  <c r="S73" i="32" s="1"/>
  <c r="O73" i="32"/>
  <c r="M73" i="32"/>
  <c r="G73" i="32"/>
  <c r="I73" i="32" s="1"/>
  <c r="D73" i="32"/>
  <c r="C73" i="32"/>
  <c r="BI72" i="32"/>
  <c r="BJ72" i="32" s="1"/>
  <c r="BF72" i="32"/>
  <c r="BG72" i="32" s="1"/>
  <c r="BC72" i="32"/>
  <c r="BD72" i="32" s="1"/>
  <c r="AZ72" i="32"/>
  <c r="BA72" i="32" s="1"/>
  <c r="AX72" i="32"/>
  <c r="AT72" i="32"/>
  <c r="AU72" i="32" s="1"/>
  <c r="AQ72" i="32"/>
  <c r="AR72" i="32" s="1"/>
  <c r="AN72" i="32"/>
  <c r="AO72" i="32" s="1"/>
  <c r="AB72" i="32"/>
  <c r="Y72" i="32"/>
  <c r="V72" i="32"/>
  <c r="X72" i="32" s="1"/>
  <c r="T72" i="32"/>
  <c r="Q72" i="32"/>
  <c r="S72" i="32" s="1"/>
  <c r="O72" i="32"/>
  <c r="M72" i="32"/>
  <c r="G72" i="32"/>
  <c r="I72" i="32" s="1"/>
  <c r="D72" i="32"/>
  <c r="C72" i="32"/>
  <c r="BI71" i="32"/>
  <c r="BJ71" i="32" s="1"/>
  <c r="BF71" i="32"/>
  <c r="BG71" i="32" s="1"/>
  <c r="BC71" i="32"/>
  <c r="BD71" i="32" s="1"/>
  <c r="AZ71" i="32"/>
  <c r="BA71" i="32" s="1"/>
  <c r="AW71" i="32"/>
  <c r="AX71" i="32" s="1"/>
  <c r="AT71" i="32"/>
  <c r="AU71" i="32" s="1"/>
  <c r="AQ71" i="32"/>
  <c r="AR71" i="32" s="1"/>
  <c r="AN71" i="32"/>
  <c r="AO71" i="32" s="1"/>
  <c r="AB71" i="32"/>
  <c r="Y71" i="32"/>
  <c r="V71" i="32"/>
  <c r="X71" i="32" s="1"/>
  <c r="T71" i="32"/>
  <c r="Q71" i="32"/>
  <c r="S71" i="32" s="1"/>
  <c r="O71" i="32"/>
  <c r="M71" i="32"/>
  <c r="G71" i="32"/>
  <c r="D71" i="32"/>
  <c r="F71" i="32" s="1"/>
  <c r="C71" i="32"/>
  <c r="BI70" i="32"/>
  <c r="BJ70" i="32" s="1"/>
  <c r="BF70" i="32"/>
  <c r="BG70" i="32" s="1"/>
  <c r="BC70" i="32"/>
  <c r="BD70" i="32" s="1"/>
  <c r="AZ70" i="32"/>
  <c r="BA70" i="32" s="1"/>
  <c r="AW70" i="32"/>
  <c r="AX70" i="32" s="1"/>
  <c r="AT70" i="32"/>
  <c r="AU70" i="32" s="1"/>
  <c r="AQ70" i="32"/>
  <c r="AR70" i="32" s="1"/>
  <c r="AN70" i="32"/>
  <c r="AO70" i="32" s="1"/>
  <c r="AB70" i="32"/>
  <c r="Y70" i="32"/>
  <c r="V70" i="32"/>
  <c r="X70" i="32" s="1"/>
  <c r="T70" i="32"/>
  <c r="Q70" i="32"/>
  <c r="S70" i="32" s="1"/>
  <c r="O70" i="32"/>
  <c r="M70" i="32"/>
  <c r="G70" i="32"/>
  <c r="I70" i="32" s="1"/>
  <c r="D70" i="32"/>
  <c r="F70" i="32" s="1"/>
  <c r="C70" i="32"/>
  <c r="BI69" i="32"/>
  <c r="BJ69" i="32" s="1"/>
  <c r="BF69" i="32"/>
  <c r="BG69" i="32" s="1"/>
  <c r="BC69" i="32"/>
  <c r="BD69" i="32" s="1"/>
  <c r="AZ69" i="32"/>
  <c r="BA69" i="32" s="1"/>
  <c r="AW69" i="32"/>
  <c r="AX69" i="32" s="1"/>
  <c r="AT69" i="32"/>
  <c r="AU69" i="32" s="1"/>
  <c r="AQ69" i="32"/>
  <c r="AR69" i="32" s="1"/>
  <c r="AN69" i="32"/>
  <c r="AO69" i="32" s="1"/>
  <c r="AB69" i="32"/>
  <c r="Y69" i="32"/>
  <c r="V69" i="32"/>
  <c r="X69" i="32" s="1"/>
  <c r="T69" i="32"/>
  <c r="Q69" i="32"/>
  <c r="S69" i="32" s="1"/>
  <c r="O69" i="32"/>
  <c r="M69" i="32"/>
  <c r="G69" i="32"/>
  <c r="D69" i="32"/>
  <c r="F69" i="32" s="1"/>
  <c r="C69" i="32"/>
  <c r="BI36" i="32"/>
  <c r="BJ36" i="32" s="1" a="1"/>
  <c r="BJ36" i="32" s="1"/>
  <c r="BF36" i="32"/>
  <c r="BG36" i="32" s="1" a="1"/>
  <c r="BG36" i="32" s="1"/>
  <c r="BC36" i="32"/>
  <c r="BD36" i="32" s="1" a="1"/>
  <c r="BD36" i="32" s="1"/>
  <c r="AZ36" i="32"/>
  <c r="BA36" i="32" s="1" a="1"/>
  <c r="BA36" i="32" s="1"/>
  <c r="AW36" i="32"/>
  <c r="AX36" i="32" s="1" a="1"/>
  <c r="AX36" i="32" s="1"/>
  <c r="AT36" i="32"/>
  <c r="AU36" i="32" s="1" a="1"/>
  <c r="AU36" i="32" s="1"/>
  <c r="AQ36" i="32"/>
  <c r="AR36" i="32" s="1" a="1"/>
  <c r="AR36" i="32" s="1"/>
  <c r="AN36" i="32"/>
  <c r="AO36" i="32" s="1" a="1"/>
  <c r="AO36" i="32" s="1"/>
  <c r="AB36" i="32"/>
  <c r="Y36" i="32"/>
  <c r="V36" i="32"/>
  <c r="X36" i="32" s="1"/>
  <c r="T36" i="32"/>
  <c r="Q36" i="32"/>
  <c r="S36" i="32" s="1"/>
  <c r="O36" i="32"/>
  <c r="M36" i="32"/>
  <c r="I36" i="32"/>
  <c r="D36" i="32"/>
  <c r="C36" i="32"/>
  <c r="Y62" i="32"/>
  <c r="V62" i="32"/>
  <c r="X62" i="32" s="1"/>
  <c r="T62" i="32"/>
  <c r="Q62" i="32"/>
  <c r="S62" i="32" s="1"/>
  <c r="O62" i="32"/>
  <c r="M62" i="32"/>
  <c r="I62" i="32"/>
  <c r="D62" i="32"/>
  <c r="C62" i="32"/>
  <c r="BI35" i="32"/>
  <c r="BJ35" i="32" s="1" a="1"/>
  <c r="BJ35" i="32" s="1"/>
  <c r="BF35" i="32"/>
  <c r="BG35" i="32" s="1" a="1"/>
  <c r="BG35" i="32" s="1"/>
  <c r="BC35" i="32"/>
  <c r="BD35" i="32" s="1" a="1"/>
  <c r="BD35" i="32" s="1"/>
  <c r="AZ35" i="32"/>
  <c r="BA35" i="32" s="1" a="1"/>
  <c r="BA35" i="32" s="1"/>
  <c r="AW35" i="32"/>
  <c r="AX35" i="32" s="1" a="1"/>
  <c r="AX35" i="32" s="1"/>
  <c r="AT35" i="32"/>
  <c r="AU35" i="32" s="1" a="1"/>
  <c r="AU35" i="32" s="1"/>
  <c r="AQ35" i="32"/>
  <c r="AR35" i="32" s="1" a="1"/>
  <c r="AR35" i="32" s="1"/>
  <c r="AN35" i="32"/>
  <c r="AO35" i="32" s="1" a="1"/>
  <c r="AO35" i="32" s="1"/>
  <c r="AB35" i="32"/>
  <c r="Y35" i="32"/>
  <c r="V35" i="32"/>
  <c r="X35" i="32" s="1"/>
  <c r="T35" i="32"/>
  <c r="Q35" i="32"/>
  <c r="S35" i="32" s="1"/>
  <c r="O35" i="32"/>
  <c r="M35" i="32"/>
  <c r="I35" i="32"/>
  <c r="D35" i="32"/>
  <c r="C35" i="32"/>
  <c r="AB19" i="32"/>
  <c r="Y19" i="32"/>
  <c r="V19" i="32"/>
  <c r="X19" i="32" s="1"/>
  <c r="T19" i="32"/>
  <c r="Q19" i="32"/>
  <c r="S19" i="32" s="1"/>
  <c r="O19" i="32"/>
  <c r="M19" i="32"/>
  <c r="D19" i="32"/>
  <c r="F19" i="32" s="1"/>
  <c r="C19" i="32"/>
  <c r="BI48" i="32"/>
  <c r="BJ48" i="32" s="1" a="1"/>
  <c r="BJ48" i="32" s="1"/>
  <c r="BF48" i="32"/>
  <c r="BG48" i="32" s="1" a="1"/>
  <c r="BG48" i="32" s="1"/>
  <c r="BC48" i="32"/>
  <c r="BD48" i="32" s="1" a="1"/>
  <c r="BD48" i="32" s="1"/>
  <c r="AZ48" i="32"/>
  <c r="BA48" i="32" s="1" a="1"/>
  <c r="BA48" i="32" s="1"/>
  <c r="AW48" i="32"/>
  <c r="AX48" i="32" s="1" a="1"/>
  <c r="AX48" i="32" s="1"/>
  <c r="AT48" i="32"/>
  <c r="AU48" i="32" s="1" a="1"/>
  <c r="AU48" i="32" s="1"/>
  <c r="AQ48" i="32"/>
  <c r="AR48" i="32" s="1" a="1"/>
  <c r="AR48" i="32" s="1"/>
  <c r="AN48" i="32"/>
  <c r="AO48" i="32" s="1" a="1"/>
  <c r="AO48" i="32" s="1"/>
  <c r="AB48" i="32"/>
  <c r="Y48" i="32"/>
  <c r="V48" i="32"/>
  <c r="X48" i="32" s="1"/>
  <c r="T48" i="32"/>
  <c r="Q48" i="32"/>
  <c r="S48" i="32" s="1"/>
  <c r="O48" i="32"/>
  <c r="M48" i="32"/>
  <c r="I48" i="32"/>
  <c r="D48" i="32"/>
  <c r="F48" i="32" s="1"/>
  <c r="C48" i="32"/>
  <c r="BI34" i="32"/>
  <c r="BJ34" i="32" s="1" a="1"/>
  <c r="BJ34" i="32" s="1"/>
  <c r="BF34" i="32"/>
  <c r="BG34" i="32" s="1" a="1"/>
  <c r="BG34" i="32" s="1"/>
  <c r="BC34" i="32"/>
  <c r="BD34" i="32" s="1" a="1"/>
  <c r="BD34" i="32" s="1"/>
  <c r="AZ34" i="32"/>
  <c r="BA34" i="32" s="1" a="1"/>
  <c r="BA34" i="32" s="1"/>
  <c r="AW34" i="32"/>
  <c r="AX34" i="32" s="1" a="1"/>
  <c r="AX34" i="32" s="1"/>
  <c r="AT34" i="32"/>
  <c r="AU34" i="32" s="1" a="1"/>
  <c r="AU34" i="32" s="1"/>
  <c r="AQ34" i="32"/>
  <c r="AR34" i="32" s="1" a="1"/>
  <c r="AR34" i="32" s="1"/>
  <c r="AN34" i="32"/>
  <c r="AO34" i="32" s="1" a="1"/>
  <c r="AO34" i="32" s="1"/>
  <c r="AB34" i="32"/>
  <c r="Y34" i="32"/>
  <c r="V34" i="32"/>
  <c r="X34" i="32" s="1"/>
  <c r="T34" i="32"/>
  <c r="Q34" i="32"/>
  <c r="S34" i="32" s="1"/>
  <c r="O34" i="32"/>
  <c r="M34" i="32"/>
  <c r="I34" i="32"/>
  <c r="D34" i="32"/>
  <c r="C34" i="32"/>
  <c r="BL33" i="32"/>
  <c r="AB33" i="32"/>
  <c r="Y33" i="32"/>
  <c r="V33" i="32"/>
  <c r="X33" i="32" s="1"/>
  <c r="T33" i="32"/>
  <c r="Q33" i="32"/>
  <c r="S33" i="32" s="1"/>
  <c r="O33" i="32"/>
  <c r="M33" i="32"/>
  <c r="I33" i="32"/>
  <c r="D33" i="32"/>
  <c r="C33" i="32"/>
  <c r="BI57" i="32"/>
  <c r="BJ57" i="32" s="1" a="1"/>
  <c r="BJ57" i="32" s="1"/>
  <c r="BF57" i="32"/>
  <c r="BG57" i="32" s="1" a="1"/>
  <c r="BG57" i="32" s="1"/>
  <c r="BC57" i="32"/>
  <c r="BD57" i="32" s="1" a="1"/>
  <c r="BD57" i="32" s="1"/>
  <c r="AZ57" i="32"/>
  <c r="BA57" i="32" s="1" a="1"/>
  <c r="BA57" i="32" s="1"/>
  <c r="AW57" i="32"/>
  <c r="AX57" i="32" s="1" a="1"/>
  <c r="AX57" i="32" s="1"/>
  <c r="AT57" i="32"/>
  <c r="AU57" i="32" s="1" a="1"/>
  <c r="AU57" i="32" s="1"/>
  <c r="AQ57" i="32"/>
  <c r="AR57" i="32" s="1" a="1"/>
  <c r="AR57" i="32" s="1"/>
  <c r="AN57" i="32"/>
  <c r="AO57" i="32" s="1" a="1"/>
  <c r="AO57" i="32" s="1"/>
  <c r="Y57" i="32"/>
  <c r="V57" i="32"/>
  <c r="X57" i="32" s="1"/>
  <c r="T57" i="32"/>
  <c r="Q57" i="32"/>
  <c r="S57" i="32" s="1"/>
  <c r="O57" i="32"/>
  <c r="M57" i="32"/>
  <c r="I57" i="32"/>
  <c r="D57" i="32"/>
  <c r="C57" i="32"/>
  <c r="BI61" i="32"/>
  <c r="BJ61" i="32" s="1" a="1"/>
  <c r="BJ61" i="32" s="1"/>
  <c r="BF61" i="32"/>
  <c r="BG61" i="32" s="1" a="1"/>
  <c r="BG61" i="32" s="1"/>
  <c r="BC61" i="32"/>
  <c r="BD61" i="32" s="1" a="1"/>
  <c r="BD61" i="32" s="1"/>
  <c r="AZ61" i="32"/>
  <c r="BA61" i="32" s="1" a="1"/>
  <c r="BA61" i="32" s="1"/>
  <c r="AW61" i="32"/>
  <c r="AX61" i="32" s="1" a="1"/>
  <c r="AX61" i="32" s="1"/>
  <c r="AT61" i="32"/>
  <c r="AU61" i="32" s="1" a="1"/>
  <c r="AU61" i="32" s="1"/>
  <c r="AR61" i="32" a="1"/>
  <c r="AR61" i="32" s="1"/>
  <c r="AN61" i="32"/>
  <c r="AO61" i="32" s="1" a="1"/>
  <c r="AO61" i="32" s="1"/>
  <c r="AB61" i="32"/>
  <c r="Y61" i="32"/>
  <c r="V61" i="32"/>
  <c r="X61" i="32" s="1"/>
  <c r="T61" i="32"/>
  <c r="Q61" i="32"/>
  <c r="S61" i="32" s="1"/>
  <c r="O61" i="32"/>
  <c r="M61" i="32"/>
  <c r="I61" i="32"/>
  <c r="D61" i="32"/>
  <c r="C61" i="32"/>
  <c r="AB60" i="32"/>
  <c r="Y60" i="32"/>
  <c r="V60" i="32"/>
  <c r="X60" i="32" s="1"/>
  <c r="T60" i="32"/>
  <c r="Q60" i="32"/>
  <c r="S60" i="32" s="1"/>
  <c r="O60" i="32"/>
  <c r="M60" i="32"/>
  <c r="I60" i="32"/>
  <c r="D60" i="32"/>
  <c r="C60" i="32"/>
  <c r="BL32" i="32"/>
  <c r="AB32" i="32"/>
  <c r="Y32" i="32"/>
  <c r="V32" i="32"/>
  <c r="X32" i="32" s="1"/>
  <c r="T32" i="32"/>
  <c r="Q32" i="32"/>
  <c r="S32" i="32" s="1"/>
  <c r="O32" i="32"/>
  <c r="M32" i="32"/>
  <c r="D32" i="32"/>
  <c r="F32" i="32" s="1"/>
  <c r="C32" i="32"/>
  <c r="BI47" i="32"/>
  <c r="BJ47" i="32" s="1" a="1"/>
  <c r="BJ47" i="32" s="1"/>
  <c r="BF47" i="32"/>
  <c r="BG47" i="32" s="1" a="1"/>
  <c r="BG47" i="32" s="1"/>
  <c r="BC47" i="32"/>
  <c r="BD47" i="32" s="1" a="1"/>
  <c r="BD47" i="32" s="1"/>
  <c r="AZ47" i="32"/>
  <c r="BA47" i="32" s="1" a="1"/>
  <c r="BA47" i="32" s="1"/>
  <c r="AW47" i="32"/>
  <c r="AX47" i="32" s="1" a="1"/>
  <c r="AX47" i="32" s="1"/>
  <c r="AT47" i="32"/>
  <c r="AU47" i="32" s="1" a="1"/>
  <c r="AU47" i="32" s="1"/>
  <c r="AQ47" i="32"/>
  <c r="AR47" i="32" s="1" a="1"/>
  <c r="AR47" i="32" s="1"/>
  <c r="AN47" i="32"/>
  <c r="AO47" i="32" s="1" a="1"/>
  <c r="AO47" i="32" s="1"/>
  <c r="AB47" i="32"/>
  <c r="Y47" i="32"/>
  <c r="V47" i="32"/>
  <c r="X47" i="32" s="1"/>
  <c r="T47" i="32"/>
  <c r="Q47" i="32"/>
  <c r="S47" i="32" s="1"/>
  <c r="O47" i="32"/>
  <c r="M47" i="32"/>
  <c r="D47" i="32"/>
  <c r="F47" i="32" s="1"/>
  <c r="C47" i="32"/>
  <c r="BI46" i="32"/>
  <c r="BJ46" i="32" s="1" a="1"/>
  <c r="BJ46" i="32" s="1"/>
  <c r="BF46" i="32"/>
  <c r="BG46" i="32" s="1" a="1"/>
  <c r="BG46" i="32" s="1"/>
  <c r="BC46" i="32"/>
  <c r="BD46" i="32" s="1" a="1"/>
  <c r="BD46" i="32" s="1"/>
  <c r="AZ46" i="32"/>
  <c r="BA46" i="32" s="1" a="1"/>
  <c r="BA46" i="32" s="1"/>
  <c r="AW46" i="32"/>
  <c r="AX46" i="32" s="1" a="1"/>
  <c r="AX46" i="32" s="1"/>
  <c r="AT46" i="32"/>
  <c r="AU46" i="32" s="1" a="1"/>
  <c r="AU46" i="32" s="1"/>
  <c r="AQ46" i="32"/>
  <c r="AR46" i="32" s="1" a="1"/>
  <c r="AR46" i="32" s="1"/>
  <c r="AN46" i="32"/>
  <c r="AO46" i="32" s="1" a="1"/>
  <c r="AO46" i="32" s="1"/>
  <c r="AB46" i="32"/>
  <c r="Y46" i="32"/>
  <c r="V46" i="32"/>
  <c r="X46" i="32" s="1"/>
  <c r="T46" i="32"/>
  <c r="Q46" i="32"/>
  <c r="S46" i="32" s="1"/>
  <c r="O46" i="32"/>
  <c r="M46" i="32"/>
  <c r="D46" i="32"/>
  <c r="F46" i="32" s="1"/>
  <c r="C46" i="32"/>
  <c r="AB31" i="32"/>
  <c r="Y31" i="32"/>
  <c r="V31" i="32"/>
  <c r="X31" i="32" s="1"/>
  <c r="T31" i="32"/>
  <c r="Q31" i="32"/>
  <c r="S31" i="32" s="1"/>
  <c r="O31" i="32"/>
  <c r="M31" i="32"/>
  <c r="I31" i="32"/>
  <c r="D31" i="32"/>
  <c r="F31" i="32" s="1"/>
  <c r="C31" i="32"/>
  <c r="BI30" i="32"/>
  <c r="BJ30" i="32" s="1" a="1"/>
  <c r="BJ30" i="32" s="1"/>
  <c r="BF30" i="32"/>
  <c r="BG30" i="32" s="1" a="1"/>
  <c r="BG30" i="32" s="1"/>
  <c r="BC30" i="32"/>
  <c r="BD30" i="32" s="1" a="1"/>
  <c r="BD30" i="32" s="1"/>
  <c r="AZ30" i="32"/>
  <c r="BA30" i="32" s="1" a="1"/>
  <c r="BA30" i="32" s="1"/>
  <c r="AW30" i="32"/>
  <c r="AX30" i="32" s="1" a="1"/>
  <c r="AX30" i="32" s="1"/>
  <c r="AT30" i="32"/>
  <c r="AU30" i="32" s="1" a="1"/>
  <c r="AU30" i="32" s="1"/>
  <c r="AQ30" i="32"/>
  <c r="AR30" i="32" s="1" a="1"/>
  <c r="AR30" i="32" s="1"/>
  <c r="AN30" i="32"/>
  <c r="AO30" i="32" s="1" a="1"/>
  <c r="AO30" i="32" s="1"/>
  <c r="AB30" i="32"/>
  <c r="Y30" i="32"/>
  <c r="V30" i="32"/>
  <c r="X30" i="32" s="1"/>
  <c r="T30" i="32"/>
  <c r="Q30" i="32"/>
  <c r="S30" i="32" s="1"/>
  <c r="O30" i="32"/>
  <c r="M30" i="32"/>
  <c r="D30" i="32"/>
  <c r="F30" i="32" s="1"/>
  <c r="C30" i="32"/>
  <c r="BL56" i="32"/>
  <c r="Y56" i="32"/>
  <c r="V56" i="32"/>
  <c r="X56" i="32" s="1"/>
  <c r="T56" i="32"/>
  <c r="Q56" i="32"/>
  <c r="S56" i="32" s="1"/>
  <c r="O56" i="32"/>
  <c r="M56" i="32"/>
  <c r="I56" i="32"/>
  <c r="D56" i="32"/>
  <c r="F56" i="32" s="1"/>
  <c r="C56" i="32"/>
  <c r="BI18" i="32"/>
  <c r="BJ18" i="32" s="1" a="1"/>
  <c r="BJ18" i="32" s="1"/>
  <c r="BF18" i="32"/>
  <c r="BG18" i="32" s="1" a="1"/>
  <c r="BG18" i="32" s="1"/>
  <c r="BC18" i="32"/>
  <c r="BD18" i="32" s="1" a="1"/>
  <c r="BD18" i="32" s="1"/>
  <c r="AZ18" i="32"/>
  <c r="BA18" i="32" s="1" a="1"/>
  <c r="BA18" i="32" s="1"/>
  <c r="AW18" i="32"/>
  <c r="AX18" i="32" s="1" a="1"/>
  <c r="AX18" i="32" s="1"/>
  <c r="AT18" i="32"/>
  <c r="AU18" i="32" s="1" a="1"/>
  <c r="AU18" i="32" s="1"/>
  <c r="AQ18" i="32"/>
  <c r="AR18" i="32" s="1" a="1"/>
  <c r="AR18" i="32" s="1"/>
  <c r="AN18" i="32"/>
  <c r="AO18" i="32" s="1" a="1"/>
  <c r="AO18" i="32" s="1"/>
  <c r="AB18" i="32"/>
  <c r="Y18" i="32"/>
  <c r="V18" i="32"/>
  <c r="X18" i="32" s="1"/>
  <c r="T18" i="32"/>
  <c r="Q18" i="32"/>
  <c r="S18" i="32" s="1"/>
  <c r="O18" i="32"/>
  <c r="M18" i="32"/>
  <c r="I18" i="32"/>
  <c r="D18" i="32"/>
  <c r="F18" i="32" s="1"/>
  <c r="C18" i="32"/>
  <c r="AB28" i="32"/>
  <c r="Y28" i="32"/>
  <c r="V28" i="32"/>
  <c r="X28" i="32" s="1"/>
  <c r="T28" i="32"/>
  <c r="Q28" i="32"/>
  <c r="S28" i="32" s="1"/>
  <c r="O28" i="32"/>
  <c r="M28" i="32"/>
  <c r="D28" i="32"/>
  <c r="F28" i="32" s="1"/>
  <c r="C28" i="32"/>
  <c r="BI55" i="32"/>
  <c r="BJ55" i="32" s="1" a="1"/>
  <c r="BJ55" i="32" s="1"/>
  <c r="BC55" i="32"/>
  <c r="BD55" i="32" s="1" a="1"/>
  <c r="BD55" i="32" s="1"/>
  <c r="AZ55" i="32"/>
  <c r="BA55" i="32" s="1" a="1"/>
  <c r="BA55" i="32" s="1"/>
  <c r="AW55" i="32"/>
  <c r="AX55" i="32" s="1" a="1"/>
  <c r="AX55" i="32" s="1"/>
  <c r="AT55" i="32"/>
  <c r="AU55" i="32" s="1" a="1"/>
  <c r="AU55" i="32" s="1"/>
  <c r="AQ55" i="32"/>
  <c r="AR55" i="32" s="1" a="1"/>
  <c r="AR55" i="32" s="1"/>
  <c r="AN55" i="32"/>
  <c r="AO55" i="32" s="1" a="1"/>
  <c r="AO55" i="32" s="1"/>
  <c r="Y55" i="32"/>
  <c r="V55" i="32"/>
  <c r="X55" i="32" s="1"/>
  <c r="T55" i="32"/>
  <c r="Q55" i="32"/>
  <c r="S55" i="32" s="1"/>
  <c r="O55" i="32"/>
  <c r="M55" i="32"/>
  <c r="I55" i="32"/>
  <c r="D55" i="32"/>
  <c r="F55" i="32" s="1"/>
  <c r="C55" i="32"/>
  <c r="BI29" i="32"/>
  <c r="BJ29" i="32" s="1" a="1"/>
  <c r="BJ29" i="32" s="1"/>
  <c r="BF29" i="32"/>
  <c r="BG29" i="32" s="1" a="1"/>
  <c r="BG29" i="32" s="1"/>
  <c r="BC29" i="32"/>
  <c r="BD29" i="32" s="1" a="1"/>
  <c r="BD29" i="32" s="1"/>
  <c r="AZ29" i="32"/>
  <c r="BA29" i="32" s="1" a="1"/>
  <c r="BA29" i="32" s="1"/>
  <c r="AW29" i="32"/>
  <c r="AX29" i="32" s="1" a="1"/>
  <c r="AX29" i="32" s="1"/>
  <c r="AT29" i="32"/>
  <c r="AU29" i="32" s="1" a="1"/>
  <c r="AU29" i="32" s="1"/>
  <c r="AQ29" i="32"/>
  <c r="AR29" i="32" s="1" a="1"/>
  <c r="AR29" i="32" s="1"/>
  <c r="AN29" i="32"/>
  <c r="AO29" i="32" s="1" a="1"/>
  <c r="AO29" i="32" s="1"/>
  <c r="AB29" i="32"/>
  <c r="Y29" i="32"/>
  <c r="V29" i="32"/>
  <c r="X29" i="32" s="1"/>
  <c r="T29" i="32"/>
  <c r="Q29" i="32"/>
  <c r="S29" i="32" s="1"/>
  <c r="O29" i="32"/>
  <c r="M29" i="32"/>
  <c r="I29" i="32"/>
  <c r="D29" i="32"/>
  <c r="F29" i="32" s="1"/>
  <c r="C29" i="32"/>
  <c r="BI17" i="32"/>
  <c r="BJ17" i="32" s="1" a="1"/>
  <c r="BJ17" i="32" s="1"/>
  <c r="BF17" i="32"/>
  <c r="BG17" i="32" s="1" a="1"/>
  <c r="BG17" i="32" s="1"/>
  <c r="BC17" i="32"/>
  <c r="BD17" i="32" s="1" a="1"/>
  <c r="BD17" i="32" s="1"/>
  <c r="AZ17" i="32"/>
  <c r="BA17" i="32" s="1" a="1"/>
  <c r="BA17" i="32" s="1"/>
  <c r="AW17" i="32"/>
  <c r="AX17" i="32" s="1" a="1"/>
  <c r="AX17" i="32" s="1"/>
  <c r="AT17" i="32"/>
  <c r="AU17" i="32" s="1" a="1"/>
  <c r="AU17" i="32" s="1"/>
  <c r="AQ17" i="32"/>
  <c r="AR17" i="32" s="1" a="1"/>
  <c r="AR17" i="32" s="1"/>
  <c r="AN17" i="32"/>
  <c r="AO17" i="32" s="1" a="1"/>
  <c r="AO17" i="32" s="1"/>
  <c r="AB17" i="32"/>
  <c r="Y17" i="32"/>
  <c r="V17" i="32"/>
  <c r="X17" i="32" s="1"/>
  <c r="T17" i="32"/>
  <c r="Q17" i="32"/>
  <c r="S17" i="32" s="1"/>
  <c r="O17" i="32"/>
  <c r="M17" i="32"/>
  <c r="I17" i="32"/>
  <c r="D17" i="32"/>
  <c r="F17" i="32" s="1"/>
  <c r="C17" i="32"/>
  <c r="AB16" i="32"/>
  <c r="Y16" i="32"/>
  <c r="V16" i="32"/>
  <c r="X16" i="32" s="1"/>
  <c r="T16" i="32"/>
  <c r="Q16" i="32"/>
  <c r="S16" i="32" s="1"/>
  <c r="O16" i="32"/>
  <c r="M16" i="32"/>
  <c r="D16" i="32"/>
  <c r="F16" i="32" s="1"/>
  <c r="C16" i="32"/>
  <c r="BI43" i="32"/>
  <c r="BJ43" i="32" s="1" a="1"/>
  <c r="BJ43" i="32" s="1"/>
  <c r="BF43" i="32"/>
  <c r="BG43" i="32" s="1" a="1"/>
  <c r="BG43" i="32" s="1"/>
  <c r="BC43" i="32"/>
  <c r="BD43" i="32" s="1" a="1"/>
  <c r="BD43" i="32" s="1"/>
  <c r="AZ43" i="32"/>
  <c r="BA43" i="32" s="1" a="1"/>
  <c r="BA43" i="32" s="1"/>
  <c r="AW43" i="32"/>
  <c r="AX43" i="32" s="1" a="1"/>
  <c r="AX43" i="32" s="1"/>
  <c r="AT43" i="32"/>
  <c r="AU43" i="32" s="1" a="1"/>
  <c r="AU43" i="32" s="1"/>
  <c r="AQ43" i="32"/>
  <c r="AR43" i="32" s="1" a="1"/>
  <c r="AR43" i="32" s="1"/>
  <c r="AN43" i="32"/>
  <c r="AO43" i="32" s="1" a="1"/>
  <c r="AO43" i="32" s="1"/>
  <c r="AB43" i="32"/>
  <c r="Y43" i="32"/>
  <c r="V43" i="32"/>
  <c r="X43" i="32" s="1"/>
  <c r="T43" i="32"/>
  <c r="Q43" i="32"/>
  <c r="S43" i="32" s="1"/>
  <c r="O43" i="32"/>
  <c r="M43" i="32"/>
  <c r="D43" i="32"/>
  <c r="F43" i="32" s="1"/>
  <c r="C43" i="32"/>
  <c r="Y15" i="32"/>
  <c r="V15" i="32"/>
  <c r="X15" i="32" s="1"/>
  <c r="T15" i="32"/>
  <c r="Q15" i="32"/>
  <c r="S15" i="32" s="1"/>
  <c r="O15" i="32"/>
  <c r="M15" i="32"/>
  <c r="I15" i="32"/>
  <c r="D15" i="32"/>
  <c r="F15" i="32" s="1"/>
  <c r="C15" i="32"/>
  <c r="BI42" i="32"/>
  <c r="BJ42" i="32" s="1" a="1"/>
  <c r="BJ42" i="32" s="1"/>
  <c r="BF42" i="32"/>
  <c r="BG42" i="32" s="1" a="1"/>
  <c r="BG42" i="32" s="1"/>
  <c r="BC42" i="32"/>
  <c r="BD42" i="32" s="1" a="1"/>
  <c r="BD42" i="32" s="1"/>
  <c r="AZ42" i="32"/>
  <c r="BA42" i="32" s="1" a="1"/>
  <c r="BA42" i="32" s="1"/>
  <c r="AW42" i="32"/>
  <c r="AX42" i="32" s="1" a="1"/>
  <c r="AX42" i="32" s="1"/>
  <c r="AT42" i="32"/>
  <c r="AU42" i="32" s="1" a="1"/>
  <c r="AU42" i="32" s="1"/>
  <c r="AQ42" i="32"/>
  <c r="AR42" i="32" s="1" a="1"/>
  <c r="AR42" i="32" s="1"/>
  <c r="AN42" i="32"/>
  <c r="AO42" i="32" s="1" a="1"/>
  <c r="AO42" i="32" s="1"/>
  <c r="AB42" i="32"/>
  <c r="Y42" i="32"/>
  <c r="V42" i="32"/>
  <c r="X42" i="32" s="1"/>
  <c r="T42" i="32"/>
  <c r="Q42" i="32"/>
  <c r="S42" i="32" s="1"/>
  <c r="O42" i="32"/>
  <c r="M42" i="32"/>
  <c r="I42" i="32"/>
  <c r="D42" i="32"/>
  <c r="F42" i="32" s="1"/>
  <c r="C42" i="32"/>
  <c r="BI54" i="32"/>
  <c r="BJ54" i="32" s="1" a="1"/>
  <c r="BJ54" i="32" s="1"/>
  <c r="BF54" i="32"/>
  <c r="BG54" i="32" s="1" a="1"/>
  <c r="BG54" i="32" s="1"/>
  <c r="BC54" i="32"/>
  <c r="BD54" i="32" s="1" a="1"/>
  <c r="BD54" i="32" s="1"/>
  <c r="AZ54" i="32"/>
  <c r="BA54" i="32" s="1" a="1"/>
  <c r="BA54" i="32" s="1"/>
  <c r="AW54" i="32"/>
  <c r="AX54" i="32" s="1" a="1"/>
  <c r="AX54" i="32" s="1"/>
  <c r="AT54" i="32"/>
  <c r="AU54" i="32" s="1" a="1"/>
  <c r="AU54" i="32" s="1"/>
  <c r="AQ54" i="32"/>
  <c r="AR54" i="32" s="1" a="1"/>
  <c r="AR54" i="32" s="1"/>
  <c r="AN54" i="32"/>
  <c r="AO54" i="32" s="1" a="1"/>
  <c r="AO54" i="32" s="1"/>
  <c r="AB54" i="32"/>
  <c r="Y54" i="32"/>
  <c r="V54" i="32"/>
  <c r="X54" i="32" s="1"/>
  <c r="T54" i="32"/>
  <c r="Q54" i="32"/>
  <c r="S54" i="32" s="1"/>
  <c r="O54" i="32"/>
  <c r="M54" i="32"/>
  <c r="I54" i="32"/>
  <c r="D54" i="32"/>
  <c r="F54" i="32" s="1"/>
  <c r="C54" i="32"/>
  <c r="BI45" i="32"/>
  <c r="BJ45" i="32" s="1" a="1"/>
  <c r="BJ45" i="32" s="1"/>
  <c r="BF45" i="32"/>
  <c r="BG45" i="32" s="1" a="1"/>
  <c r="BG45" i="32" s="1"/>
  <c r="BC45" i="32"/>
  <c r="BD45" i="32" s="1" a="1"/>
  <c r="BD45" i="32" s="1"/>
  <c r="AZ45" i="32"/>
  <c r="BA45" i="32" s="1" a="1"/>
  <c r="BA45" i="32" s="1"/>
  <c r="AW45" i="32"/>
  <c r="AX45" i="32" s="1" a="1"/>
  <c r="AX45" i="32" s="1"/>
  <c r="AT45" i="32"/>
  <c r="AU45" i="32" s="1" a="1"/>
  <c r="AU45" i="32" s="1"/>
  <c r="AQ45" i="32"/>
  <c r="AR45" i="32" s="1" a="1"/>
  <c r="AR45" i="32" s="1"/>
  <c r="AN45" i="32"/>
  <c r="AO45" i="32" s="1" a="1"/>
  <c r="AO45" i="32" s="1"/>
  <c r="AB45" i="32"/>
  <c r="Y45" i="32"/>
  <c r="V45" i="32"/>
  <c r="X45" i="32" s="1"/>
  <c r="T45" i="32"/>
  <c r="Q45" i="32"/>
  <c r="S45" i="32" s="1"/>
  <c r="O45" i="32"/>
  <c r="M45" i="32"/>
  <c r="I45" i="32"/>
  <c r="D45" i="32"/>
  <c r="F45" i="32" s="1"/>
  <c r="C45" i="32"/>
  <c r="AB14" i="32"/>
  <c r="Y14" i="32"/>
  <c r="V14" i="32"/>
  <c r="X14" i="32" s="1"/>
  <c r="T14" i="32"/>
  <c r="Q14" i="32"/>
  <c r="S14" i="32" s="1"/>
  <c r="O14" i="32"/>
  <c r="M14" i="32"/>
  <c r="I14" i="32"/>
  <c r="D14" i="32"/>
  <c r="C14" i="32"/>
  <c r="BI44" i="32"/>
  <c r="BJ44" i="32" s="1" a="1"/>
  <c r="BJ44" i="32" s="1"/>
  <c r="BF44" i="32"/>
  <c r="BG44" i="32" s="1" a="1"/>
  <c r="BG44" i="32" s="1"/>
  <c r="BC44" i="32"/>
  <c r="BD44" i="32" s="1" a="1"/>
  <c r="BD44" i="32" s="1"/>
  <c r="AZ44" i="32"/>
  <c r="BA44" i="32" s="1" a="1"/>
  <c r="BA44" i="32" s="1"/>
  <c r="AW44" i="32"/>
  <c r="AX44" i="32" s="1" a="1"/>
  <c r="AX44" i="32" s="1"/>
  <c r="AT44" i="32"/>
  <c r="AU44" i="32" s="1" a="1"/>
  <c r="AU44" i="32" s="1"/>
  <c r="AQ44" i="32"/>
  <c r="AR44" i="32" s="1" a="1"/>
  <c r="AR44" i="32" s="1"/>
  <c r="AN44" i="32"/>
  <c r="AO44" i="32" s="1" a="1"/>
  <c r="AO44" i="32" s="1"/>
  <c r="AB44" i="32"/>
  <c r="Y44" i="32"/>
  <c r="V44" i="32"/>
  <c r="X44" i="32" s="1"/>
  <c r="T44" i="32"/>
  <c r="Q44" i="32"/>
  <c r="S44" i="32" s="1"/>
  <c r="O44" i="32"/>
  <c r="M44" i="32"/>
  <c r="I44" i="32"/>
  <c r="D44" i="32"/>
  <c r="C44" i="32"/>
  <c r="BI13" i="32"/>
  <c r="BJ13" i="32" s="1" a="1"/>
  <c r="BJ13" i="32" s="1"/>
  <c r="BF13" i="32"/>
  <c r="BG13" i="32" s="1" a="1"/>
  <c r="BG13" i="32" s="1"/>
  <c r="BC13" i="32"/>
  <c r="BD13" i="32" s="1" a="1"/>
  <c r="BD13" i="32" s="1"/>
  <c r="AZ13" i="32"/>
  <c r="BA13" i="32" s="1" a="1"/>
  <c r="BA13" i="32" s="1"/>
  <c r="AW13" i="32"/>
  <c r="AX13" i="32" s="1" a="1"/>
  <c r="AX13" i="32" s="1"/>
  <c r="AT13" i="32"/>
  <c r="AU13" i="32" s="1" a="1"/>
  <c r="AU13" i="32" s="1"/>
  <c r="AQ13" i="32"/>
  <c r="AR13" i="32" s="1" a="1"/>
  <c r="AR13" i="32" s="1"/>
  <c r="AN13" i="32"/>
  <c r="AO13" i="32" s="1" a="1"/>
  <c r="AO13" i="32" s="1"/>
  <c r="Y13" i="32"/>
  <c r="V13" i="32"/>
  <c r="X13" i="32" s="1"/>
  <c r="T13" i="32"/>
  <c r="Q13" i="32"/>
  <c r="S13" i="32" s="1"/>
  <c r="O13" i="32"/>
  <c r="M13" i="32"/>
  <c r="I13" i="32"/>
  <c r="D13" i="32"/>
  <c r="C13" i="32"/>
  <c r="BI12" i="32"/>
  <c r="BJ12" i="32" s="1" a="1"/>
  <c r="BJ12" i="32" s="1"/>
  <c r="BF12" i="32"/>
  <c r="BG12" i="32" s="1" a="1"/>
  <c r="BG12" i="32" s="1"/>
  <c r="BC12" i="32"/>
  <c r="BD12" i="32" s="1" a="1"/>
  <c r="BD12" i="32" s="1"/>
  <c r="AZ12" i="32"/>
  <c r="BA12" i="32" s="1" a="1"/>
  <c r="BA12" i="32" s="1"/>
  <c r="AW12" i="32"/>
  <c r="AX12" i="32" s="1" a="1"/>
  <c r="AX12" i="32" s="1"/>
  <c r="AT12" i="32"/>
  <c r="AU12" i="32" s="1" a="1"/>
  <c r="AU12" i="32" s="1"/>
  <c r="AQ12" i="32"/>
  <c r="AR12" i="32" s="1" a="1"/>
  <c r="AR12" i="32" s="1"/>
  <c r="AN12" i="32"/>
  <c r="AO12" i="32" s="1" a="1"/>
  <c r="AO12" i="32" s="1"/>
  <c r="AB12" i="32"/>
  <c r="Y12" i="32"/>
  <c r="V12" i="32"/>
  <c r="X12" i="32" s="1"/>
  <c r="T12" i="32"/>
  <c r="Q12" i="32"/>
  <c r="S12" i="32" s="1"/>
  <c r="O12" i="32"/>
  <c r="M12" i="32"/>
  <c r="I12" i="32"/>
  <c r="D12" i="32"/>
  <c r="C12" i="32"/>
  <c r="BL41" i="32"/>
  <c r="AB41" i="32"/>
  <c r="Y41" i="32"/>
  <c r="V41" i="32"/>
  <c r="X41" i="32" s="1"/>
  <c r="T41" i="32"/>
  <c r="Q41" i="32"/>
  <c r="S41" i="32" s="1"/>
  <c r="O41" i="32"/>
  <c r="M41" i="32"/>
  <c r="I41" i="32"/>
  <c r="D41" i="32"/>
  <c r="F41" i="32" s="1"/>
  <c r="C41" i="32"/>
  <c r="BL40" i="32"/>
  <c r="AB40" i="32"/>
  <c r="Y40" i="32"/>
  <c r="V40" i="32"/>
  <c r="X40" i="32" s="1"/>
  <c r="T40" i="32"/>
  <c r="Q40" i="32"/>
  <c r="S40" i="32" s="1"/>
  <c r="O40" i="32"/>
  <c r="M40" i="32"/>
  <c r="I40" i="32"/>
  <c r="D40" i="32"/>
  <c r="C40" i="32"/>
  <c r="AB27" i="32"/>
  <c r="Y27" i="32"/>
  <c r="V27" i="32"/>
  <c r="X27" i="32" s="1"/>
  <c r="T27" i="32"/>
  <c r="Q27" i="32"/>
  <c r="S27" i="32" s="1"/>
  <c r="O27" i="32"/>
  <c r="M27" i="32"/>
  <c r="D27" i="32"/>
  <c r="F27" i="32" s="1"/>
  <c r="C27" i="32"/>
  <c r="AB11" i="32"/>
  <c r="Y11" i="32"/>
  <c r="V11" i="32"/>
  <c r="X11" i="32" s="1"/>
  <c r="T11" i="32"/>
  <c r="Q11" i="32"/>
  <c r="S11" i="32" s="1"/>
  <c r="O11" i="32"/>
  <c r="M11" i="32"/>
  <c r="I11" i="32"/>
  <c r="D11" i="32"/>
  <c r="F11" i="32" s="1"/>
  <c r="C11" i="32"/>
  <c r="BI26" i="32"/>
  <c r="BJ26" i="32" s="1" a="1"/>
  <c r="BJ26" i="32" s="1"/>
  <c r="BF26" i="32"/>
  <c r="BG26" i="32" s="1" a="1"/>
  <c r="BG26" i="32" s="1"/>
  <c r="BC26" i="32"/>
  <c r="BD26" i="32" s="1" a="1"/>
  <c r="BD26" i="32" s="1"/>
  <c r="AZ26" i="32"/>
  <c r="BA26" i="32" s="1" a="1"/>
  <c r="BA26" i="32" s="1"/>
  <c r="AW26" i="32"/>
  <c r="AX26" i="32" s="1" a="1"/>
  <c r="AX26" i="32" s="1"/>
  <c r="AT26" i="32"/>
  <c r="AU26" i="32" s="1" a="1"/>
  <c r="AU26" i="32" s="1"/>
  <c r="AQ26" i="32"/>
  <c r="AR26" i="32" s="1" a="1"/>
  <c r="AR26" i="32" s="1"/>
  <c r="AN26" i="32"/>
  <c r="AO26" i="32" s="1" a="1"/>
  <c r="AO26" i="32" s="1"/>
  <c r="AB26" i="32"/>
  <c r="Y26" i="32"/>
  <c r="V26" i="32"/>
  <c r="X26" i="32" s="1"/>
  <c r="T26" i="32"/>
  <c r="Q26" i="32"/>
  <c r="S26" i="32" s="1"/>
  <c r="O26" i="32"/>
  <c r="M26" i="32"/>
  <c r="I26" i="32"/>
  <c r="D26" i="32"/>
  <c r="C26" i="32"/>
  <c r="AB10" i="32"/>
  <c r="Y10" i="32"/>
  <c r="V10" i="32"/>
  <c r="X10" i="32" s="1"/>
  <c r="T10" i="32"/>
  <c r="Q10" i="32"/>
  <c r="S10" i="32" s="1"/>
  <c r="O10" i="32"/>
  <c r="M10" i="32"/>
  <c r="D10" i="32"/>
  <c r="F10" i="32" s="1"/>
  <c r="C10" i="32"/>
  <c r="BI9" i="32"/>
  <c r="BJ9" i="32" s="1" a="1"/>
  <c r="BJ9" i="32" s="1"/>
  <c r="BF9" i="32"/>
  <c r="BG9" i="32" s="1" a="1"/>
  <c r="BG9" i="32" s="1"/>
  <c r="BC9" i="32"/>
  <c r="BD9" i="32" s="1" a="1"/>
  <c r="BD9" i="32" s="1"/>
  <c r="AZ9" i="32"/>
  <c r="BA9" i="32" s="1" a="1"/>
  <c r="BA9" i="32" s="1"/>
  <c r="AW9" i="32"/>
  <c r="AX9" i="32" s="1" a="1"/>
  <c r="AX9" i="32" s="1"/>
  <c r="AT9" i="32"/>
  <c r="AU9" i="32" s="1" a="1"/>
  <c r="AU9" i="32" s="1"/>
  <c r="AQ9" i="32"/>
  <c r="AR9" i="32" s="1" a="1"/>
  <c r="AR9" i="32" s="1"/>
  <c r="AN9" i="32"/>
  <c r="AO9" i="32" s="1" a="1"/>
  <c r="AO9" i="32" s="1"/>
  <c r="AB9" i="32"/>
  <c r="Y9" i="32"/>
  <c r="V9" i="32"/>
  <c r="X9" i="32" s="1"/>
  <c r="T9" i="32"/>
  <c r="Q9" i="32"/>
  <c r="S9" i="32" s="1"/>
  <c r="O9" i="32"/>
  <c r="M9" i="32"/>
  <c r="I9" i="32"/>
  <c r="D9" i="32"/>
  <c r="F9" i="32" s="1"/>
  <c r="C9" i="32"/>
  <c r="BI53" i="32"/>
  <c r="BJ53" i="32" s="1" a="1"/>
  <c r="BJ53" i="32" s="1"/>
  <c r="BF53" i="32"/>
  <c r="BG53" i="32" s="1" a="1"/>
  <c r="BG53" i="32" s="1"/>
  <c r="BC53" i="32"/>
  <c r="BD53" i="32" s="1" a="1"/>
  <c r="BD53" i="32" s="1"/>
  <c r="AZ53" i="32"/>
  <c r="BA53" i="32" s="1" a="1"/>
  <c r="BA53" i="32" s="1"/>
  <c r="AW53" i="32"/>
  <c r="AX53" i="32" s="1" a="1"/>
  <c r="AX53" i="32" s="1"/>
  <c r="AT53" i="32"/>
  <c r="AU53" i="32" s="1" a="1"/>
  <c r="AU53" i="32" s="1"/>
  <c r="AQ53" i="32"/>
  <c r="AR53" i="32" s="1" a="1"/>
  <c r="AR53" i="32" s="1"/>
  <c r="AN53" i="32"/>
  <c r="AO53" i="32" s="1" a="1"/>
  <c r="AO53" i="32" s="1"/>
  <c r="Y53" i="32"/>
  <c r="V53" i="32"/>
  <c r="X53" i="32" s="1"/>
  <c r="T53" i="32"/>
  <c r="Q53" i="32"/>
  <c r="S53" i="32" s="1"/>
  <c r="O53" i="32"/>
  <c r="M53" i="32"/>
  <c r="I53" i="32"/>
  <c r="D53" i="32"/>
  <c r="C53" i="32"/>
  <c r="BI52" i="32"/>
  <c r="BJ52" i="32" s="1" a="1"/>
  <c r="BJ52" i="32" s="1"/>
  <c r="BF52" i="32"/>
  <c r="BG52" i="32" s="1" a="1"/>
  <c r="BG52" i="32" s="1"/>
  <c r="BC52" i="32"/>
  <c r="BD52" i="32" s="1" a="1"/>
  <c r="BD52" i="32" s="1"/>
  <c r="AZ52" i="32"/>
  <c r="BA52" i="32" s="1" a="1"/>
  <c r="BA52" i="32" s="1"/>
  <c r="AW52" i="32"/>
  <c r="AX52" i="32" s="1" a="1"/>
  <c r="AX52" i="32" s="1"/>
  <c r="AT52" i="32"/>
  <c r="AU52" i="32" s="1" a="1"/>
  <c r="AU52" i="32" s="1"/>
  <c r="AQ52" i="32"/>
  <c r="AR52" i="32" s="1" a="1"/>
  <c r="AR52" i="32" s="1"/>
  <c r="AN52" i="32"/>
  <c r="AO52" i="32" s="1" a="1"/>
  <c r="AO52" i="32" s="1"/>
  <c r="Y52" i="32"/>
  <c r="V52" i="32"/>
  <c r="X52" i="32" s="1"/>
  <c r="T52" i="32"/>
  <c r="Q52" i="32"/>
  <c r="S52" i="32" s="1"/>
  <c r="O52" i="32"/>
  <c r="M52" i="32"/>
  <c r="I52" i="32"/>
  <c r="D52" i="32"/>
  <c r="C52" i="32"/>
  <c r="AB8" i="32"/>
  <c r="Y8" i="32"/>
  <c r="V8" i="32"/>
  <c r="X8" i="32" s="1"/>
  <c r="T8" i="32"/>
  <c r="Q8" i="32"/>
  <c r="S8" i="32" s="1"/>
  <c r="O8" i="32"/>
  <c r="M8" i="32"/>
  <c r="I8" i="32"/>
  <c r="D8" i="32"/>
  <c r="F8" i="32" s="1"/>
  <c r="C8" i="32"/>
  <c r="AB25" i="32"/>
  <c r="Y25" i="32"/>
  <c r="V25" i="32"/>
  <c r="X25" i="32" s="1"/>
  <c r="T25" i="32"/>
  <c r="Q25" i="32"/>
  <c r="S25" i="32" s="1"/>
  <c r="O25" i="32"/>
  <c r="M25" i="32"/>
  <c r="I25" i="32"/>
  <c r="D25" i="32"/>
  <c r="F25" i="32" s="1"/>
  <c r="C25" i="32"/>
  <c r="AB24" i="32"/>
  <c r="Y24" i="32"/>
  <c r="V24" i="32"/>
  <c r="X24" i="32" s="1"/>
  <c r="T24" i="32"/>
  <c r="Q24" i="32"/>
  <c r="S24" i="32" s="1"/>
  <c r="O24" i="32"/>
  <c r="M24" i="32"/>
  <c r="I24" i="32"/>
  <c r="D24" i="32"/>
  <c r="C24" i="32"/>
  <c r="BI23" i="32"/>
  <c r="BJ23" i="32" s="1" a="1"/>
  <c r="BJ23" i="32" s="1"/>
  <c r="BF23" i="32"/>
  <c r="BG23" i="32" s="1" a="1"/>
  <c r="BG23" i="32" s="1"/>
  <c r="BC23" i="32"/>
  <c r="BD23" i="32" s="1" a="1"/>
  <c r="BD23" i="32" s="1"/>
  <c r="AZ23" i="32"/>
  <c r="BA23" i="32" s="1" a="1"/>
  <c r="BA23" i="32" s="1"/>
  <c r="AW23" i="32"/>
  <c r="AX23" i="32" s="1" a="1"/>
  <c r="AX23" i="32" s="1"/>
  <c r="AT23" i="32"/>
  <c r="AU23" i="32" s="1" a="1"/>
  <c r="AU23" i="32" s="1"/>
  <c r="AQ23" i="32"/>
  <c r="AR23" i="32" s="1" a="1"/>
  <c r="AR23" i="32" s="1"/>
  <c r="AN23" i="32"/>
  <c r="AO23" i="32" s="1" a="1"/>
  <c r="AO23" i="32" s="1"/>
  <c r="AB23" i="32"/>
  <c r="Y23" i="32"/>
  <c r="V23" i="32"/>
  <c r="X23" i="32" s="1"/>
  <c r="T23" i="32"/>
  <c r="Q23" i="32"/>
  <c r="S23" i="32" s="1"/>
  <c r="O23" i="32"/>
  <c r="M23" i="32"/>
  <c r="I23" i="32"/>
  <c r="D23" i="32"/>
  <c r="F23" i="32" s="1"/>
  <c r="C23" i="32"/>
  <c r="BI51" i="32"/>
  <c r="BJ51" i="32" s="1" a="1"/>
  <c r="BJ51" i="32" s="1"/>
  <c r="BF51" i="32"/>
  <c r="BG51" i="32" s="1" a="1"/>
  <c r="BG51" i="32" s="1"/>
  <c r="BC51" i="32"/>
  <c r="BD51" i="32" s="1" a="1"/>
  <c r="BD51" i="32" s="1"/>
  <c r="AZ51" i="32"/>
  <c r="BA51" i="32" s="1" a="1"/>
  <c r="BA51" i="32" s="1"/>
  <c r="AW51" i="32"/>
  <c r="AX51" i="32" s="1" a="1"/>
  <c r="AX51" i="32" s="1"/>
  <c r="AT51" i="32"/>
  <c r="AU51" i="32" s="1" a="1"/>
  <c r="AU51" i="32" s="1"/>
  <c r="AQ51" i="32"/>
  <c r="AR51" i="32" s="1" a="1"/>
  <c r="AR51" i="32" s="1"/>
  <c r="AN51" i="32"/>
  <c r="AO51" i="32" s="1" a="1"/>
  <c r="AO51" i="32" s="1"/>
  <c r="Y51" i="32"/>
  <c r="V51" i="32"/>
  <c r="X51" i="32" s="1"/>
  <c r="T51" i="32"/>
  <c r="Q51" i="32"/>
  <c r="S51" i="32" s="1"/>
  <c r="O51" i="32"/>
  <c r="M51" i="32"/>
  <c r="I51" i="32"/>
  <c r="D51" i="32"/>
  <c r="F51" i="32" s="1"/>
  <c r="C51" i="32"/>
  <c r="BC39" i="32"/>
  <c r="BD39" i="32" s="1" a="1"/>
  <c r="BD39" i="32" s="1"/>
  <c r="AZ39" i="32"/>
  <c r="BA39" i="32" s="1" a="1"/>
  <c r="BA39" i="32" s="1"/>
  <c r="AW39" i="32"/>
  <c r="AX39" i="32" s="1" a="1"/>
  <c r="AX39" i="32" s="1"/>
  <c r="AT39" i="32"/>
  <c r="AU39" i="32" s="1" a="1"/>
  <c r="AU39" i="32" s="1"/>
  <c r="AQ39" i="32"/>
  <c r="AR39" i="32" s="1" a="1"/>
  <c r="AR39" i="32" s="1"/>
  <c r="AN39" i="32"/>
  <c r="AO39" i="32" s="1" a="1"/>
  <c r="AO39" i="32" s="1"/>
  <c r="AB39" i="32"/>
  <c r="Y39" i="32"/>
  <c r="V39" i="32"/>
  <c r="X39" i="32" s="1"/>
  <c r="T39" i="32"/>
  <c r="Q39" i="32"/>
  <c r="S39" i="32" s="1"/>
  <c r="O39" i="32"/>
  <c r="M39" i="32"/>
  <c r="I39" i="32"/>
  <c r="D39" i="32"/>
  <c r="C39" i="32"/>
  <c r="AB22" i="32"/>
  <c r="Y22" i="32"/>
  <c r="V22" i="32"/>
  <c r="X22" i="32" s="1"/>
  <c r="T22" i="32"/>
  <c r="Q22" i="32"/>
  <c r="S22" i="32" s="1"/>
  <c r="O22" i="32"/>
  <c r="M22" i="32"/>
  <c r="I22" i="32"/>
  <c r="D22" i="32"/>
  <c r="C22" i="32"/>
  <c r="AB50" i="32"/>
  <c r="Y50" i="32"/>
  <c r="V50" i="32"/>
  <c r="X50" i="32" s="1"/>
  <c r="T50" i="32"/>
  <c r="Q50" i="32"/>
  <c r="S50" i="32" s="1"/>
  <c r="O50" i="32"/>
  <c r="M50" i="32"/>
  <c r="I50" i="32"/>
  <c r="D50" i="32"/>
  <c r="C50" i="32"/>
  <c r="AB59" i="32"/>
  <c r="Y59" i="32"/>
  <c r="V59" i="32"/>
  <c r="X59" i="32" s="1"/>
  <c r="T59" i="32"/>
  <c r="Q59" i="32"/>
  <c r="S59" i="32" s="1"/>
  <c r="O59" i="32"/>
  <c r="M59" i="32"/>
  <c r="I59" i="32"/>
  <c r="D59" i="32"/>
  <c r="C59" i="32"/>
  <c r="BI21" i="32"/>
  <c r="BJ21" i="32" s="1" a="1"/>
  <c r="BJ21" i="32" s="1"/>
  <c r="BF21" i="32"/>
  <c r="BG21" i="32" s="1" a="1"/>
  <c r="BG21" i="32" s="1"/>
  <c r="BC21" i="32"/>
  <c r="BD21" i="32" s="1" a="1"/>
  <c r="BD21" i="32" s="1"/>
  <c r="AZ21" i="32"/>
  <c r="BA21" i="32" s="1" a="1"/>
  <c r="BA21" i="32" s="1"/>
  <c r="AW21" i="32"/>
  <c r="AX21" i="32" s="1" a="1"/>
  <c r="AX21" i="32" s="1"/>
  <c r="AT21" i="32"/>
  <c r="AU21" i="32" s="1" a="1"/>
  <c r="AU21" i="32" s="1"/>
  <c r="AQ21" i="32"/>
  <c r="AR21" i="32" s="1" a="1"/>
  <c r="AR21" i="32" s="1"/>
  <c r="AN21" i="32"/>
  <c r="AO21" i="32" s="1" a="1"/>
  <c r="AO21" i="32" s="1"/>
  <c r="AB21" i="32"/>
  <c r="Y21" i="32"/>
  <c r="V21" i="32"/>
  <c r="X21" i="32" s="1"/>
  <c r="T21" i="32"/>
  <c r="Q21" i="32"/>
  <c r="S21" i="32" s="1"/>
  <c r="O21" i="32"/>
  <c r="M21" i="32"/>
  <c r="I21" i="32"/>
  <c r="D21" i="32"/>
  <c r="C21" i="32"/>
  <c r="BI7" i="32"/>
  <c r="BJ7" i="32" s="1" a="1"/>
  <c r="BJ7" i="32" s="1"/>
  <c r="BF7" i="32"/>
  <c r="BG7" i="32" s="1" a="1"/>
  <c r="BG7" i="32" s="1"/>
  <c r="BC7" i="32"/>
  <c r="BD7" i="32" s="1" a="1"/>
  <c r="BD7" i="32" s="1"/>
  <c r="AZ7" i="32"/>
  <c r="BA7" i="32" s="1" a="1"/>
  <c r="BA7" i="32" s="1"/>
  <c r="AW7" i="32"/>
  <c r="AX7" i="32" s="1" a="1"/>
  <c r="AX7" i="32" s="1"/>
  <c r="AT7" i="32"/>
  <c r="AU7" i="32" s="1" a="1"/>
  <c r="AU7" i="32" s="1"/>
  <c r="AQ7" i="32"/>
  <c r="AR7" i="32" s="1" a="1"/>
  <c r="AR7" i="32" s="1"/>
  <c r="AN7" i="32"/>
  <c r="AO7" i="32" s="1" a="1"/>
  <c r="AO7" i="32" s="1"/>
  <c r="AB7" i="32"/>
  <c r="Y7" i="32"/>
  <c r="V7" i="32"/>
  <c r="X7" i="32" s="1"/>
  <c r="T7" i="32"/>
  <c r="Q7" i="32"/>
  <c r="S7" i="32" s="1"/>
  <c r="O7" i="32"/>
  <c r="M7" i="32"/>
  <c r="I7" i="32"/>
  <c r="D7" i="32"/>
  <c r="C7" i="32"/>
  <c r="AB58" i="32"/>
  <c r="Y58" i="32"/>
  <c r="V58" i="32"/>
  <c r="X58" i="32" s="1"/>
  <c r="T58" i="32"/>
  <c r="Q58" i="32"/>
  <c r="S58" i="32" s="1"/>
  <c r="O58" i="32"/>
  <c r="M58" i="32"/>
  <c r="I58" i="32"/>
  <c r="D58" i="32"/>
  <c r="C58" i="32"/>
  <c r="BI49" i="32"/>
  <c r="BJ49" i="32" s="1" a="1"/>
  <c r="BJ49" i="32" s="1"/>
  <c r="BF49" i="32"/>
  <c r="BG49" i="32" s="1" a="1"/>
  <c r="BG49" i="32" s="1"/>
  <c r="BC49" i="32"/>
  <c r="BD49" i="32" s="1" a="1"/>
  <c r="BD49" i="32" s="1"/>
  <c r="AZ49" i="32"/>
  <c r="BA49" i="32" s="1" a="1"/>
  <c r="BA49" i="32" s="1"/>
  <c r="AW49" i="32"/>
  <c r="AX49" i="32" s="1" a="1"/>
  <c r="AX49" i="32" s="1"/>
  <c r="AT49" i="32"/>
  <c r="AU49" i="32" s="1" a="1"/>
  <c r="AU49" i="32" s="1"/>
  <c r="AQ49" i="32"/>
  <c r="AR49" i="32" s="1" a="1"/>
  <c r="AR49" i="32" s="1"/>
  <c r="AN49" i="32"/>
  <c r="AO49" i="32" s="1" a="1"/>
  <c r="AO49" i="32" s="1"/>
  <c r="AB49" i="32"/>
  <c r="Y49" i="32"/>
  <c r="V49" i="32"/>
  <c r="X49" i="32" s="1"/>
  <c r="T49" i="32"/>
  <c r="Q49" i="32"/>
  <c r="S49" i="32" s="1"/>
  <c r="O49" i="32"/>
  <c r="M49" i="32"/>
  <c r="I49" i="32"/>
  <c r="D49" i="32"/>
  <c r="C49" i="32"/>
  <c r="BL38" i="32"/>
  <c r="AB38" i="32"/>
  <c r="Y38" i="32"/>
  <c r="V38" i="32"/>
  <c r="X38" i="32" s="1"/>
  <c r="T38" i="32"/>
  <c r="Q38" i="32"/>
  <c r="S38" i="32" s="1"/>
  <c r="O38" i="32"/>
  <c r="M38" i="32"/>
  <c r="I38" i="32"/>
  <c r="D38" i="32"/>
  <c r="C38" i="32"/>
  <c r="BI20" i="32"/>
  <c r="BJ20" i="32" s="1" a="1"/>
  <c r="BJ20" i="32" s="1"/>
  <c r="BF20" i="32"/>
  <c r="BG20" i="32" s="1" a="1"/>
  <c r="BG20" i="32" s="1"/>
  <c r="BC20" i="32"/>
  <c r="BD20" i="32" s="1" a="1"/>
  <c r="BD20" i="32" s="1"/>
  <c r="AZ20" i="32"/>
  <c r="BA20" i="32" s="1" a="1"/>
  <c r="BA20" i="32" s="1"/>
  <c r="AT20" i="32"/>
  <c r="AU20" i="32" s="1" a="1"/>
  <c r="AU20" i="32" s="1"/>
  <c r="AQ20" i="32"/>
  <c r="AR20" i="32" s="1" a="1"/>
  <c r="AR20" i="32" s="1"/>
  <c r="AN20" i="32"/>
  <c r="AO20" i="32" s="1" a="1"/>
  <c r="AO20" i="32" s="1"/>
  <c r="AB20" i="32"/>
  <c r="Y20" i="32"/>
  <c r="V20" i="32"/>
  <c r="X20" i="32" s="1"/>
  <c r="T20" i="32"/>
  <c r="Q20" i="32"/>
  <c r="S20" i="32" s="1"/>
  <c r="O20" i="32"/>
  <c r="M20" i="32"/>
  <c r="I20" i="32"/>
  <c r="D20" i="32"/>
  <c r="F20" i="32" s="1"/>
  <c r="C20" i="32"/>
  <c r="BI37" i="32"/>
  <c r="BJ37" i="32" s="1" a="1"/>
  <c r="BJ37" i="32" s="1"/>
  <c r="BF37" i="32"/>
  <c r="BG37" i="32" s="1" a="1"/>
  <c r="BG37" i="32" s="1"/>
  <c r="BC37" i="32"/>
  <c r="BD37" i="32" s="1" a="1"/>
  <c r="BD37" i="32" s="1"/>
  <c r="AZ37" i="32"/>
  <c r="BA37" i="32" s="1" a="1"/>
  <c r="BA37" i="32" s="1"/>
  <c r="AW37" i="32"/>
  <c r="AX37" i="32" s="1" a="1"/>
  <c r="AX37" i="32" s="1"/>
  <c r="AT37" i="32"/>
  <c r="AU37" i="32" s="1" a="1"/>
  <c r="AU37" i="32" s="1"/>
  <c r="AQ37" i="32"/>
  <c r="AR37" i="32" s="1" a="1"/>
  <c r="AR37" i="32" s="1"/>
  <c r="AN37" i="32"/>
  <c r="AO37" i="32" s="1" a="1"/>
  <c r="AO37" i="32" s="1"/>
  <c r="AB37" i="32"/>
  <c r="Y37" i="32"/>
  <c r="V37" i="32"/>
  <c r="X37" i="32" s="1"/>
  <c r="T37" i="32"/>
  <c r="Q37" i="32"/>
  <c r="S37" i="32" s="1"/>
  <c r="O37" i="32"/>
  <c r="M37" i="32"/>
  <c r="I37" i="32"/>
  <c r="D37" i="32"/>
  <c r="F37" i="32" s="1"/>
  <c r="C37" i="32"/>
  <c r="BI6" i="32"/>
  <c r="BJ6" i="32" s="1" a="1"/>
  <c r="BJ6" i="32" s="1"/>
  <c r="BF6" i="32"/>
  <c r="BG6" i="32" s="1" a="1"/>
  <c r="BG6" i="32" s="1"/>
  <c r="BC6" i="32"/>
  <c r="BD6" i="32" s="1" a="1"/>
  <c r="BD6" i="32" s="1"/>
  <c r="AZ6" i="32"/>
  <c r="BA6" i="32" s="1" a="1"/>
  <c r="BA6" i="32" s="1"/>
  <c r="AW6" i="32"/>
  <c r="AX6" i="32" s="1" a="1"/>
  <c r="AX6" i="32" s="1"/>
  <c r="AT6" i="32"/>
  <c r="AU6" i="32" s="1" a="1"/>
  <c r="AU6" i="32" s="1"/>
  <c r="AQ6" i="32"/>
  <c r="AR6" i="32" s="1" a="1"/>
  <c r="AR6" i="32" s="1"/>
  <c r="AB6" i="32"/>
  <c r="Y6" i="32"/>
  <c r="V6" i="32"/>
  <c r="X6" i="32" s="1"/>
  <c r="T6" i="32"/>
  <c r="Q6" i="32"/>
  <c r="S6" i="32" s="1"/>
  <c r="O6" i="32"/>
  <c r="M6" i="32"/>
  <c r="G6" i="32"/>
  <c r="I6" i="32" s="1"/>
  <c r="D6" i="32"/>
  <c r="F6" i="32" s="1"/>
  <c r="C6" i="32"/>
  <c r="BL23" i="32" l="1"/>
  <c r="BL17" i="32"/>
  <c r="BL12" i="32"/>
  <c r="BL6" i="32"/>
  <c r="BL13" i="32"/>
  <c r="BL29" i="32"/>
  <c r="BL9" i="32"/>
  <c r="BL20" i="32"/>
  <c r="BL7" i="32"/>
  <c r="BL26" i="32"/>
  <c r="BL18" i="32"/>
  <c r="BL21" i="32"/>
  <c r="AD43" i="32"/>
  <c r="AD6" i="32"/>
  <c r="AD15" i="32"/>
  <c r="K46" i="32"/>
  <c r="AD54" i="32"/>
  <c r="K73" i="32"/>
  <c r="BL73" i="32"/>
  <c r="K72" i="32"/>
  <c r="K71" i="32"/>
  <c r="K41" i="32"/>
  <c r="K13" i="32"/>
  <c r="J61" i="32"/>
  <c r="L61" i="32" s="1"/>
  <c r="BN61" i="32" s="1"/>
  <c r="K19" i="32"/>
  <c r="AD62" i="32"/>
  <c r="J52" i="32"/>
  <c r="L52" i="32" s="1"/>
  <c r="Z52" i="32" s="1"/>
  <c r="K56" i="32"/>
  <c r="AD31" i="32"/>
  <c r="K20" i="32"/>
  <c r="J22" i="32"/>
  <c r="L22" i="32" s="1"/>
  <c r="BN22" i="32" s="1"/>
  <c r="K10" i="32"/>
  <c r="AD48" i="32"/>
  <c r="K58" i="32"/>
  <c r="AD11" i="32"/>
  <c r="AD14" i="32"/>
  <c r="J7" i="32"/>
  <c r="L7" i="32" s="1"/>
  <c r="BN7" i="32" s="1"/>
  <c r="K61" i="32"/>
  <c r="K34" i="32"/>
  <c r="J35" i="32"/>
  <c r="L35" i="32" s="1"/>
  <c r="Z35" i="32" s="1"/>
  <c r="K38" i="32"/>
  <c r="K7" i="32"/>
  <c r="K53" i="32"/>
  <c r="K26" i="32"/>
  <c r="J36" i="32"/>
  <c r="L36" i="32" s="1"/>
  <c r="BN36" i="32" s="1"/>
  <c r="AD38" i="32"/>
  <c r="K52" i="32"/>
  <c r="J9" i="32"/>
  <c r="L9" i="32" s="1"/>
  <c r="Z9" i="32" s="1"/>
  <c r="K14" i="32"/>
  <c r="AD34" i="32"/>
  <c r="AD19" i="32"/>
  <c r="AD71" i="32"/>
  <c r="AD20" i="32"/>
  <c r="J38" i="32"/>
  <c r="L38" i="32" s="1"/>
  <c r="BN38" i="32" s="1"/>
  <c r="K49" i="32"/>
  <c r="K21" i="32"/>
  <c r="F52" i="32"/>
  <c r="AD44" i="32"/>
  <c r="AD27" i="32"/>
  <c r="AD12" i="32"/>
  <c r="K47" i="32"/>
  <c r="AD33" i="32"/>
  <c r="J39" i="32"/>
  <c r="L39" i="32" s="1"/>
  <c r="Z39" i="32" s="1"/>
  <c r="K23" i="32"/>
  <c r="J26" i="32"/>
  <c r="L26" i="32" s="1"/>
  <c r="Z26" i="32" s="1"/>
  <c r="J59" i="32"/>
  <c r="L59" i="32" s="1"/>
  <c r="BN59" i="32" s="1"/>
  <c r="K18" i="32"/>
  <c r="J62" i="32"/>
  <c r="L62" i="32" s="1"/>
  <c r="BN62" i="32" s="1"/>
  <c r="K45" i="32"/>
  <c r="K54" i="32"/>
  <c r="K31" i="32"/>
  <c r="J58" i="32"/>
  <c r="L58" i="32" s="1"/>
  <c r="BN58" i="32" s="1"/>
  <c r="K22" i="32"/>
  <c r="J51" i="32"/>
  <c r="L51" i="32" s="1"/>
  <c r="Z51" i="32" s="1"/>
  <c r="J23" i="32"/>
  <c r="L23" i="32" s="1"/>
  <c r="Z23" i="32" s="1"/>
  <c r="AD8" i="32"/>
  <c r="J53" i="32"/>
  <c r="L53" i="32" s="1"/>
  <c r="Z53" i="32" s="1"/>
  <c r="K30" i="32"/>
  <c r="J46" i="32"/>
  <c r="L46" i="32" s="1"/>
  <c r="Z46" i="32" s="1"/>
  <c r="AD57" i="32"/>
  <c r="J33" i="32"/>
  <c r="L33" i="32" s="1"/>
  <c r="Z33" i="32" s="1"/>
  <c r="J19" i="32"/>
  <c r="L19" i="32" s="1"/>
  <c r="Z19" i="32" s="1"/>
  <c r="J50" i="32"/>
  <c r="L50" i="32" s="1"/>
  <c r="Z50" i="32" s="1"/>
  <c r="AD50" i="32"/>
  <c r="K24" i="32"/>
  <c r="K9" i="32"/>
  <c r="J11" i="32"/>
  <c r="L11" i="32" s="1"/>
  <c r="Z11" i="32" s="1"/>
  <c r="J30" i="32"/>
  <c r="L30" i="32" s="1"/>
  <c r="Z30" i="32" s="1"/>
  <c r="J31" i="32"/>
  <c r="L31" i="32" s="1"/>
  <c r="BN31" i="32" s="1"/>
  <c r="K57" i="32"/>
  <c r="K33" i="32"/>
  <c r="AD37" i="32"/>
  <c r="J27" i="32"/>
  <c r="L27" i="32" s="1"/>
  <c r="BN27" i="32" s="1"/>
  <c r="AD59" i="32"/>
  <c r="AD41" i="32"/>
  <c r="AD16" i="32"/>
  <c r="K60" i="32"/>
  <c r="AD36" i="32"/>
  <c r="AD21" i="32"/>
  <c r="AD39" i="32"/>
  <c r="K11" i="32"/>
  <c r="AD13" i="32"/>
  <c r="AD42" i="32"/>
  <c r="K43" i="32"/>
  <c r="K16" i="32"/>
  <c r="K32" i="32"/>
  <c r="K36" i="32"/>
  <c r="AD7" i="32"/>
  <c r="J21" i="32"/>
  <c r="L21" i="32" s="1"/>
  <c r="Z21" i="32" s="1"/>
  <c r="K59" i="32"/>
  <c r="K25" i="32"/>
  <c r="J10" i="32"/>
  <c r="L10" i="32" s="1"/>
  <c r="BN10" i="32" s="1"/>
  <c r="J40" i="32"/>
  <c r="L40" i="32" s="1"/>
  <c r="Z40" i="32" s="1"/>
  <c r="K42" i="32"/>
  <c r="K15" i="32"/>
  <c r="AD46" i="32"/>
  <c r="J34" i="32"/>
  <c r="L34" i="32" s="1"/>
  <c r="Z34" i="32" s="1"/>
  <c r="K35" i="32"/>
  <c r="AD35" i="32"/>
  <c r="J69" i="32"/>
  <c r="L69" i="32" s="1"/>
  <c r="Z69" i="32" s="1"/>
  <c r="K70" i="32"/>
  <c r="BL72" i="32"/>
  <c r="J20" i="32"/>
  <c r="L20" i="32" s="1"/>
  <c r="Z20" i="32" s="1"/>
  <c r="AD22" i="32"/>
  <c r="J24" i="32"/>
  <c r="L24" i="32" s="1"/>
  <c r="BN24" i="32" s="1"/>
  <c r="K40" i="32"/>
  <c r="AD45" i="32"/>
  <c r="J28" i="32"/>
  <c r="L28" i="32" s="1"/>
  <c r="BN28" i="32" s="1"/>
  <c r="AD30" i="32"/>
  <c r="J32" i="32"/>
  <c r="L32" i="32" s="1"/>
  <c r="Z32" i="32" s="1"/>
  <c r="AD61" i="32"/>
  <c r="K69" i="32"/>
  <c r="AD72" i="32"/>
  <c r="BL39" i="32"/>
  <c r="AD17" i="32"/>
  <c r="AD55" i="32"/>
  <c r="AD56" i="32"/>
  <c r="K6" i="32"/>
  <c r="F38" i="32"/>
  <c r="J49" i="32"/>
  <c r="L49" i="32" s="1"/>
  <c r="Z49" i="32" s="1"/>
  <c r="AD51" i="32"/>
  <c r="AD10" i="32"/>
  <c r="F40" i="32"/>
  <c r="I46" i="32"/>
  <c r="AD60" i="32"/>
  <c r="F34" i="32"/>
  <c r="J37" i="32"/>
  <c r="L37" i="32" s="1"/>
  <c r="BN37" i="32" s="1"/>
  <c r="AD49" i="32"/>
  <c r="K51" i="32"/>
  <c r="F24" i="32"/>
  <c r="K8" i="32"/>
  <c r="F53" i="32"/>
  <c r="AD9" i="32"/>
  <c r="I10" i="32"/>
  <c r="F26" i="32"/>
  <c r="I27" i="32"/>
  <c r="J12" i="32"/>
  <c r="L12" i="32" s="1"/>
  <c r="Z12" i="32" s="1"/>
  <c r="J44" i="32"/>
  <c r="L44" i="32" s="1"/>
  <c r="Z44" i="32" s="1"/>
  <c r="J54" i="32"/>
  <c r="L54" i="32" s="1"/>
  <c r="Z54" i="32" s="1"/>
  <c r="BL42" i="32"/>
  <c r="J15" i="32"/>
  <c r="L15" i="32" s="1"/>
  <c r="Z15" i="32" s="1"/>
  <c r="K17" i="32"/>
  <c r="J29" i="32"/>
  <c r="L29" i="32" s="1"/>
  <c r="Z29" i="32" s="1"/>
  <c r="K55" i="32"/>
  <c r="I30" i="32"/>
  <c r="J48" i="32"/>
  <c r="L48" i="32" s="1"/>
  <c r="Z48" i="32" s="1"/>
  <c r="AD24" i="32"/>
  <c r="AD25" i="32"/>
  <c r="K12" i="32"/>
  <c r="K44" i="32"/>
  <c r="I32" i="32"/>
  <c r="J57" i="32"/>
  <c r="L57" i="32" s="1"/>
  <c r="Z57" i="32" s="1"/>
  <c r="K48" i="32"/>
  <c r="I19" i="32"/>
  <c r="K50" i="32"/>
  <c r="K39" i="32"/>
  <c r="AD53" i="32"/>
  <c r="AD26" i="32"/>
  <c r="BL45" i="32"/>
  <c r="AD29" i="32"/>
  <c r="AD28" i="32"/>
  <c r="AD18" i="32"/>
  <c r="J47" i="32"/>
  <c r="L47" i="32" s="1"/>
  <c r="Z47" i="32" s="1"/>
  <c r="BL61" i="32"/>
  <c r="BL34" i="32"/>
  <c r="J6" i="32"/>
  <c r="L6" i="32" s="1"/>
  <c r="Z6" i="32" s="1"/>
  <c r="AD58" i="32"/>
  <c r="F50" i="32"/>
  <c r="F39" i="32"/>
  <c r="K62" i="32"/>
  <c r="K37" i="32"/>
  <c r="AD23" i="32"/>
  <c r="J8" i="32"/>
  <c r="L8" i="32" s="1"/>
  <c r="Z8" i="32" s="1"/>
  <c r="AD52" i="32"/>
  <c r="BL53" i="32"/>
  <c r="J41" i="32"/>
  <c r="L41" i="32" s="1"/>
  <c r="Z41" i="32" s="1"/>
  <c r="J13" i="32"/>
  <c r="L13" i="32" s="1"/>
  <c r="Z13" i="32" s="1"/>
  <c r="J14" i="32"/>
  <c r="L14" i="32" s="1"/>
  <c r="Z14" i="32" s="1"/>
  <c r="J45" i="32"/>
  <c r="L45" i="32" s="1"/>
  <c r="BN45" i="32" s="1"/>
  <c r="BL54" i="32"/>
  <c r="J42" i="32"/>
  <c r="L42" i="32" s="1"/>
  <c r="BN42" i="32" s="1"/>
  <c r="J17" i="32"/>
  <c r="L17" i="32" s="1"/>
  <c r="Z17" i="32" s="1"/>
  <c r="K29" i="32"/>
  <c r="J55" i="32"/>
  <c r="L55" i="32" s="1"/>
  <c r="Z55" i="32" s="1"/>
  <c r="K28" i="32"/>
  <c r="I47" i="32"/>
  <c r="BL48" i="32"/>
  <c r="AD70" i="32"/>
  <c r="J72" i="32"/>
  <c r="L72" i="32" s="1"/>
  <c r="BN72" i="32" s="1"/>
  <c r="AD73" i="32"/>
  <c r="BL52" i="32"/>
  <c r="BL37" i="32"/>
  <c r="BL51" i="32"/>
  <c r="BL49" i="32"/>
  <c r="F7" i="32"/>
  <c r="F21" i="32"/>
  <c r="F59" i="32"/>
  <c r="F22" i="32"/>
  <c r="J25" i="32"/>
  <c r="L25" i="32" s="1"/>
  <c r="Z25" i="32" s="1"/>
  <c r="BL47" i="32"/>
  <c r="BL36" i="32"/>
  <c r="AD69" i="32"/>
  <c r="F49" i="32"/>
  <c r="F58" i="32"/>
  <c r="J16" i="32"/>
  <c r="L16" i="32" s="1"/>
  <c r="Z16" i="32" s="1"/>
  <c r="I16" i="32"/>
  <c r="J71" i="32"/>
  <c r="L71" i="32" s="1"/>
  <c r="Z71" i="32" s="1"/>
  <c r="I71" i="32"/>
  <c r="BL44" i="32"/>
  <c r="BL55" i="32"/>
  <c r="J60" i="32"/>
  <c r="L60" i="32" s="1"/>
  <c r="Z60" i="32" s="1"/>
  <c r="F60" i="32"/>
  <c r="BL35" i="32"/>
  <c r="BL69" i="32"/>
  <c r="BL46" i="32"/>
  <c r="BL57" i="32"/>
  <c r="BL71" i="32"/>
  <c r="K27" i="32"/>
  <c r="AD40" i="32"/>
  <c r="J43" i="32"/>
  <c r="L43" i="32" s="1"/>
  <c r="Z43" i="32" s="1"/>
  <c r="I43" i="32"/>
  <c r="BL30" i="32"/>
  <c r="AD32" i="32"/>
  <c r="J73" i="32"/>
  <c r="L73" i="32" s="1"/>
  <c r="Z73" i="32" s="1"/>
  <c r="F73" i="32"/>
  <c r="BL70" i="32"/>
  <c r="BL43" i="32"/>
  <c r="AD47" i="32"/>
  <c r="F12" i="32"/>
  <c r="F13" i="32"/>
  <c r="F44" i="32"/>
  <c r="F14" i="32"/>
  <c r="I28" i="32"/>
  <c r="J18" i="32"/>
  <c r="L18" i="32" s="1"/>
  <c r="Z18" i="32" s="1"/>
  <c r="J56" i="32"/>
  <c r="L56" i="32" s="1"/>
  <c r="Z56" i="32" s="1"/>
  <c r="F61" i="32"/>
  <c r="F57" i="32"/>
  <c r="F33" i="32"/>
  <c r="F35" i="32"/>
  <c r="F62" i="32"/>
  <c r="F36" i="32"/>
  <c r="J70" i="32"/>
  <c r="L70" i="32" s="1"/>
  <c r="Z70" i="32" s="1"/>
  <c r="F72" i="32"/>
  <c r="I69" i="32"/>
  <c r="Z61" i="32" l="1"/>
  <c r="BN52" i="32"/>
  <c r="Z7" i="32"/>
  <c r="Z62" i="32"/>
  <c r="BN55" i="32"/>
  <c r="BN35" i="32"/>
  <c r="BN30" i="32"/>
  <c r="BN48" i="32"/>
  <c r="BN26" i="32"/>
  <c r="Z58" i="32"/>
  <c r="BN9" i="32"/>
  <c r="BN33" i="32"/>
  <c r="BN14" i="32"/>
  <c r="Z10" i="32"/>
  <c r="BN29" i="32"/>
  <c r="Z28" i="32"/>
  <c r="Z36" i="32"/>
  <c r="Z27" i="32"/>
  <c r="BN20" i="32"/>
  <c r="Z31" i="32"/>
  <c r="BN41" i="32"/>
  <c r="BN21" i="32"/>
  <c r="BN53" i="32"/>
  <c r="Z38" i="32"/>
  <c r="Z22" i="32"/>
  <c r="BN39" i="32"/>
  <c r="Z72" i="32"/>
  <c r="BN49" i="32"/>
  <c r="BN32" i="32"/>
  <c r="BN17" i="32"/>
  <c r="Z45" i="32"/>
  <c r="Z59" i="32"/>
  <c r="BN54" i="32"/>
  <c r="BN44" i="32"/>
  <c r="BN23" i="32"/>
  <c r="BN46" i="32"/>
  <c r="BN60" i="32"/>
  <c r="BN47" i="32"/>
  <c r="BN13" i="32"/>
  <c r="BN11" i="32"/>
  <c r="BN19" i="32"/>
  <c r="BN51" i="32"/>
  <c r="BN40" i="32"/>
  <c r="BN69" i="32"/>
  <c r="BN50" i="32"/>
  <c r="Z24" i="32"/>
  <c r="BN34" i="32"/>
  <c r="BN15" i="32"/>
  <c r="BN8" i="32"/>
  <c r="Z42" i="32"/>
  <c r="Z37" i="32"/>
  <c r="BN6" i="32"/>
  <c r="BN12" i="32"/>
  <c r="BN71" i="32"/>
  <c r="BN57" i="32"/>
  <c r="BN56" i="32"/>
  <c r="BN70" i="32"/>
  <c r="BN16" i="32"/>
  <c r="BN25" i="32"/>
  <c r="BN18" i="32"/>
  <c r="BN43" i="32"/>
  <c r="BN73" i="32"/>
  <c r="H7" i="28" l="1"/>
  <c r="G7" i="28"/>
  <c r="F7" i="28"/>
  <c r="E7" i="28"/>
  <c r="D7" i="28"/>
  <c r="H6" i="28"/>
  <c r="G6" i="28"/>
  <c r="F6" i="28"/>
  <c r="E6" i="28"/>
  <c r="D6" i="28"/>
  <c r="H5" i="28"/>
  <c r="G5" i="28"/>
  <c r="F5" i="28"/>
  <c r="E5" i="28"/>
  <c r="D5" i="28"/>
  <c r="H7" i="27"/>
  <c r="G7" i="27"/>
  <c r="F7" i="27"/>
  <c r="E7" i="27"/>
  <c r="D7" i="27"/>
  <c r="H6" i="27"/>
  <c r="G6" i="27"/>
  <c r="F6" i="27"/>
  <c r="E6" i="27"/>
  <c r="D6" i="27"/>
  <c r="H5" i="27"/>
  <c r="G5" i="27"/>
  <c r="F5" i="27"/>
  <c r="E5" i="27"/>
  <c r="D5" i="27"/>
  <c r="H7" i="26"/>
  <c r="G7" i="26"/>
  <c r="F7" i="26"/>
  <c r="E7" i="26"/>
  <c r="D7" i="26"/>
  <c r="H6" i="26"/>
  <c r="G6" i="26"/>
  <c r="F6" i="26"/>
  <c r="E6" i="26"/>
  <c r="D6" i="26"/>
  <c r="H5" i="26"/>
  <c r="G5" i="26"/>
  <c r="F5" i="26"/>
  <c r="E5" i="26"/>
  <c r="D5" i="26"/>
  <c r="H7" i="25"/>
  <c r="G7" i="25"/>
  <c r="F7" i="25"/>
  <c r="E7" i="25"/>
  <c r="D7" i="25"/>
  <c r="H6" i="25"/>
  <c r="G6" i="25"/>
  <c r="F6" i="25"/>
  <c r="E6" i="25"/>
  <c r="D6" i="25"/>
  <c r="H5" i="25"/>
  <c r="G5" i="25"/>
  <c r="F5" i="25"/>
  <c r="E5" i="25"/>
  <c r="D5" i="25"/>
  <c r="B72" i="14" l="1"/>
  <c r="K7" i="7" l="1"/>
  <c r="K8" i="7"/>
  <c r="K9" i="7"/>
  <c r="K10" i="7"/>
  <c r="K11" i="7"/>
  <c r="K12" i="7"/>
  <c r="K13"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 i="7"/>
  <c r="C61" i="14"/>
  <c r="J61" i="14"/>
  <c r="I61" i="14"/>
  <c r="H61" i="14"/>
  <c r="G61" i="14"/>
  <c r="F61" i="14"/>
  <c r="E61" i="14"/>
  <c r="D61" i="14"/>
  <c r="CL28" i="3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<sst xmlns="http://schemas.openxmlformats.org/spreadsheetml/2006/main" count="3748" uniqueCount="506">
  <si>
    <t/>
  </si>
  <si>
    <t>Absence FTE %</t>
  </si>
  <si>
    <t>216 Capital Costed Posts</t>
  </si>
  <si>
    <t>216 Capital</t>
  </si>
  <si>
    <t>216 Charitable Funded Posts</t>
  </si>
  <si>
    <t>216 Charitable</t>
  </si>
  <si>
    <t>216 Clinical Support Services</t>
  </si>
  <si>
    <t>216 Healthcare Science and Technology Summary</t>
  </si>
  <si>
    <t>216 Imaging Summary</t>
  </si>
  <si>
    <t>216 Pathology Summary</t>
  </si>
  <si>
    <t>216 Pharmacy Summary</t>
  </si>
  <si>
    <t>216 Therapies Summary</t>
  </si>
  <si>
    <t>216 Corporate Services</t>
  </si>
  <si>
    <t>216 Cancer Services Summary</t>
  </si>
  <si>
    <t>216 Clinical Management Summary</t>
  </si>
  <si>
    <t>216 Corporate Business Summary</t>
  </si>
  <si>
    <t>216 Director of Finance Summary</t>
  </si>
  <si>
    <t>216 Director of HR Summary</t>
  </si>
  <si>
    <t>216 Information &amp; Planning Summary</t>
  </si>
  <si>
    <t>216 Nursing and Quality Summary</t>
  </si>
  <si>
    <t>216 Operational Management Summary</t>
  </si>
  <si>
    <t>216 Site Services Summary</t>
  </si>
  <si>
    <t>216 Medicine Care Group</t>
  </si>
  <si>
    <t>216 Acute Medicine Summary</t>
  </si>
  <si>
    <t>216 Cardiology Summary</t>
  </si>
  <si>
    <t>216 Diabetic Medicine and Endocrinology Summary</t>
  </si>
  <si>
    <t>216 Emergency Department Summary</t>
  </si>
  <si>
    <t>216 Endoscopy Summary</t>
  </si>
  <si>
    <t>216 Gastroenterology Services Summary</t>
  </si>
  <si>
    <t>216 Haematology &amp; Immunology Summary</t>
  </si>
  <si>
    <t>216 Healthcare of the Elderly Summary</t>
  </si>
  <si>
    <t>216 Hepatology Summary</t>
  </si>
  <si>
    <t>216 Medicine SL Mangement Costs Summary</t>
  </si>
  <si>
    <t>216 Nephrology and Transplantation Summary</t>
  </si>
  <si>
    <t>216 Neurology and Stroke Summary</t>
  </si>
  <si>
    <t>216 Oncology Services Summary</t>
  </si>
  <si>
    <t>216 Thoracic Medicine Summary</t>
  </si>
  <si>
    <t>216 Other Recharged Posts</t>
  </si>
  <si>
    <t>216 Recharged</t>
  </si>
  <si>
    <t>216 Research and Development</t>
  </si>
  <si>
    <t>216 Research and Development Summary</t>
  </si>
  <si>
    <t>216 Surgery Care Group</t>
  </si>
  <si>
    <t>216 Anaesthetics Summary</t>
  </si>
  <si>
    <t>216 Cardiothoracic and Vascular Surgery Summary</t>
  </si>
  <si>
    <t>216 Colorectal Surgery Summary</t>
  </si>
  <si>
    <t>216 Critical Care Services Summary</t>
  </si>
  <si>
    <t>216 Dental &amp; Max Fax Summary</t>
  </si>
  <si>
    <t>216 Dermatology Summary</t>
  </si>
  <si>
    <t>216 ENT &amp; Audiology Summary</t>
  </si>
  <si>
    <t>216 General and HpB Surgery Summary</t>
  </si>
  <si>
    <t>216 Neurosurgery Summary</t>
  </si>
  <si>
    <t>216 Oesophago-Gastric Surgery Summary</t>
  </si>
  <si>
    <t>216 Ophthalmology Summary</t>
  </si>
  <si>
    <t>216 Pain Services Summary</t>
  </si>
  <si>
    <t>216 Plastic Surgery Summary</t>
  </si>
  <si>
    <t>216 Surgery SL Mangement Costs Summary</t>
  </si>
  <si>
    <t>216 Theatres Central Summary</t>
  </si>
  <si>
    <t>216 Trauma and Orthopaedics and Rheumatology Summary</t>
  </si>
  <si>
    <t>216 Urology Summary</t>
  </si>
  <si>
    <t>216 Trust Wide</t>
  </si>
  <si>
    <t>216 Trust Wide Summary</t>
  </si>
  <si>
    <t>216 Womens and Childrens CG</t>
  </si>
  <si>
    <t>216 Acute Paediatrics Summary</t>
  </si>
  <si>
    <t>216 Breast Services Summary</t>
  </si>
  <si>
    <t>216 Community Paediatrics Summary</t>
  </si>
  <si>
    <t>216 GU Medicine and PAC Summary</t>
  </si>
  <si>
    <t>216 Gynaecology &amp; IVF Summary</t>
  </si>
  <si>
    <t>216 Maternity Services Summary</t>
  </si>
  <si>
    <t>216 Neonatology Summary</t>
  </si>
  <si>
    <t>216 Womens &amp; Childrens SL Mangement Costs Summary</t>
  </si>
  <si>
    <t>Grand Total</t>
  </si>
  <si>
    <t>Long Term</t>
  </si>
  <si>
    <t>Short Term</t>
  </si>
  <si>
    <t>Org L4</t>
  </si>
  <si>
    <t>Org L3</t>
  </si>
  <si>
    <t>Imaging</t>
  </si>
  <si>
    <t>Plastic Surgery</t>
  </si>
  <si>
    <t>Cardiology</t>
  </si>
  <si>
    <t>Neurosurgery</t>
  </si>
  <si>
    <t>Anaesthetics</t>
  </si>
  <si>
    <t>Acute Medicine</t>
  </si>
  <si>
    <t>Pharmacy</t>
  </si>
  <si>
    <t>Dermatology</t>
  </si>
  <si>
    <t>Ophthalmology</t>
  </si>
  <si>
    <t>Research and Development</t>
  </si>
  <si>
    <t>Endoscopy</t>
  </si>
  <si>
    <t>Urology</t>
  </si>
  <si>
    <t>Pathology</t>
  </si>
  <si>
    <t>Hepatology</t>
  </si>
  <si>
    <t>216 Medical Resilience Summary</t>
  </si>
  <si>
    <t>216 Neurosciences General Summary</t>
  </si>
  <si>
    <t>Director of Finance</t>
  </si>
  <si>
    <t>Sum of Worked WTE</t>
  </si>
  <si>
    <t>Agency?</t>
  </si>
  <si>
    <t>LVL4DESC</t>
  </si>
  <si>
    <t>Agency</t>
  </si>
  <si>
    <t>Substantive</t>
  </si>
  <si>
    <t>Acute Paediatrics</t>
  </si>
  <si>
    <t>Breast Services</t>
  </si>
  <si>
    <t>Cancer Services</t>
  </si>
  <si>
    <t>Cardiothoracic and Vascular Surgery</t>
  </si>
  <si>
    <t>Clinical Management</t>
  </si>
  <si>
    <t>Clinical Support SL Management Costs</t>
  </si>
  <si>
    <t>Colorectal Surgery</t>
  </si>
  <si>
    <t>Community Paediatrics</t>
  </si>
  <si>
    <t>Corporate Business</t>
  </si>
  <si>
    <t>Critical Care Services</t>
  </si>
  <si>
    <t>Dental &amp; Max Fax</t>
  </si>
  <si>
    <t>Diabetic Medicine and Endocrinology</t>
  </si>
  <si>
    <t>Director of HR</t>
  </si>
  <si>
    <t>Emergency Department</t>
  </si>
  <si>
    <t>ENT &amp; Audiology</t>
  </si>
  <si>
    <t>Gastroenterology Services</t>
  </si>
  <si>
    <t>General and HpB Surgery</t>
  </si>
  <si>
    <t>GU Medicine and PAC</t>
  </si>
  <si>
    <t>Gynaecology &amp; IVF</t>
  </si>
  <si>
    <t>Haematology &amp; Immunology</t>
  </si>
  <si>
    <t>Healthcare of the Elderly</t>
  </si>
  <si>
    <t>Healthcare Science and Technology</t>
  </si>
  <si>
    <t>Information &amp; Planning</t>
  </si>
  <si>
    <t>Maternity Services</t>
  </si>
  <si>
    <t>Medicine SL Mangement Costs</t>
  </si>
  <si>
    <t>Neonatology</t>
  </si>
  <si>
    <t>Nephrology and Transplantation</t>
  </si>
  <si>
    <t>Neurology and Stroke</t>
  </si>
  <si>
    <t>Nursing and Quality</t>
  </si>
  <si>
    <t>Oesophago-Gastric Surgery</t>
  </si>
  <si>
    <t>Oncology Services</t>
  </si>
  <si>
    <t>Operational Management</t>
  </si>
  <si>
    <t>Pain Services</t>
  </si>
  <si>
    <t>Site Services</t>
  </si>
  <si>
    <t>Surgery SL Mangement Costs</t>
  </si>
  <si>
    <t>Theatres Central</t>
  </si>
  <si>
    <t>Therapies</t>
  </si>
  <si>
    <t>Thoracic Medicine</t>
  </si>
  <si>
    <t>Trauma and Orthopaedics and Rheumatology</t>
  </si>
  <si>
    <t>Trust Wide</t>
  </si>
  <si>
    <t>Womens &amp; Childrens SL Mangement Costs</t>
  </si>
  <si>
    <t>216 Womens &amp; Childrens SL Mangement Costs</t>
  </si>
  <si>
    <t>Quarter</t>
  </si>
  <si>
    <t>Q1 2019.20</t>
  </si>
  <si>
    <t>Q2 2019.20</t>
  </si>
  <si>
    <t>Q3 2019.20</t>
  </si>
  <si>
    <t>Q4 2019.20</t>
  </si>
  <si>
    <t>216 Urology</t>
  </si>
  <si>
    <t>Serviceline</t>
  </si>
  <si>
    <t>Equality, Diversity &amp; Inclusion</t>
  </si>
  <si>
    <t>Health &amp; Wellbeing</t>
  </si>
  <si>
    <t>Immediate managers</t>
  </si>
  <si>
    <t>Morale</t>
  </si>
  <si>
    <t>Quality of Appraisals</t>
  </si>
  <si>
    <t>Quality of Care</t>
  </si>
  <si>
    <t>Safe environment - Bulling &amp; Harassment</t>
  </si>
  <si>
    <t>Safe Environment - Violence</t>
  </si>
  <si>
    <t>Safety Culture</t>
  </si>
  <si>
    <t>Staff Engagement</t>
  </si>
  <si>
    <t>Acute Medicine Diabetes &amp; Endocrinology</t>
  </si>
  <si>
    <t>Acute Paeds/ Comm Paeds/ Neonates</t>
  </si>
  <si>
    <t>Anaesthetics/ Theatres Central</t>
  </si>
  <si>
    <t>SHIP/ Gynae &amp; IVF/ Breast Surg</t>
  </si>
  <si>
    <t>Other Service lines</t>
  </si>
  <si>
    <t>Cardiology/ Thoracic Medicine</t>
  </si>
  <si>
    <t>Cardiothoracic &amp; Vascular Surg/ Critical Care</t>
  </si>
  <si>
    <t>Neurosurgery/Dental &amp; Max Fax/ ENT &amp; Audiology/ Pain Services</t>
  </si>
  <si>
    <t>Derm/ Plastic Surg/ Ophthalmology</t>
  </si>
  <si>
    <t>Director of Finance Summary</t>
  </si>
  <si>
    <t>Director of Human Resources Summary</t>
  </si>
  <si>
    <t>Emergency Department Summary</t>
  </si>
  <si>
    <t>Haematology/ Oncology Summary</t>
  </si>
  <si>
    <t>Healthcare Science &amp; Technology Summary</t>
  </si>
  <si>
    <t>Imaging Summary</t>
  </si>
  <si>
    <t>Maternity Services Summary</t>
  </si>
  <si>
    <t>Pathology Summary</t>
  </si>
  <si>
    <t>Pharmacy Summary</t>
  </si>
  <si>
    <t>Therapies Summary</t>
  </si>
  <si>
    <t>Trauma &amp; Orthopaedics and Rheumatology Summary</t>
  </si>
  <si>
    <t>Trust Overall</t>
  </si>
  <si>
    <t>Stress</t>
  </si>
  <si>
    <t>Musculo/Skeletal</t>
  </si>
  <si>
    <t>All Sickness</t>
  </si>
  <si>
    <t>Staff Survey</t>
  </si>
  <si>
    <t>Absence</t>
  </si>
  <si>
    <t>Turnover</t>
  </si>
  <si>
    <t>Staffing</t>
  </si>
  <si>
    <t>Labour Turnover Rate</t>
  </si>
  <si>
    <t>LTR Headcount %</t>
  </si>
  <si>
    <t>Staff In Post
(Headcount)</t>
  </si>
  <si>
    <t>Overall Staff Survey</t>
  </si>
  <si>
    <t>Pulse Survey</t>
  </si>
  <si>
    <t>I would recommend the Trust as a place to work</t>
  </si>
  <si>
    <t>I would recommend the Trust as a place to be treated</t>
  </si>
  <si>
    <t>I get regular, positive feedback</t>
  </si>
  <si>
    <t>I feel fairly treated at work</t>
  </si>
  <si>
    <t>Overall behaviour in this Trust is respectful</t>
  </si>
  <si>
    <t>I am supported to develop in my role</t>
  </si>
  <si>
    <t>I am able to share my ideas for improving how we work</t>
  </si>
  <si>
    <t>I feel safe to speak up about things that concern me in the Trust</t>
  </si>
  <si>
    <t>Overall Pulse Score</t>
  </si>
  <si>
    <t>Mandatory Training Compliance (% of staff 100% compliance)</t>
  </si>
  <si>
    <t>Appraisal Compliance</t>
  </si>
  <si>
    <t>Q2. 2020.21</t>
  </si>
  <si>
    <t>Your Service Line?</t>
  </si>
  <si>
    <t>Anaesthetics Summary</t>
  </si>
  <si>
    <t>Capital</t>
  </si>
  <si>
    <t>Finance</t>
  </si>
  <si>
    <t>HR</t>
  </si>
  <si>
    <t>Recharged</t>
  </si>
  <si>
    <t>Care Group</t>
  </si>
  <si>
    <t>Clinical Support services</t>
  </si>
  <si>
    <t>Corporate</t>
  </si>
  <si>
    <t>medicine care group</t>
  </si>
  <si>
    <t>Other</t>
  </si>
  <si>
    <t>surgery Care Group</t>
  </si>
  <si>
    <t>Womens and Childrens CG</t>
  </si>
  <si>
    <t>216 Neuroscience Directorate</t>
  </si>
  <si>
    <t>Management Accountability (Appraisals Completed and Mandatory Training Compliance))</t>
  </si>
  <si>
    <t>Service Line</t>
  </si>
  <si>
    <t>Count of Respondent ID</t>
  </si>
  <si>
    <t>No. of Respondents to Pulse Survey</t>
  </si>
  <si>
    <t>Previous Quarters</t>
  </si>
  <si>
    <t>Q1 2020.21</t>
  </si>
  <si>
    <t>Benchmark</t>
  </si>
  <si>
    <t>Greater/Less Than</t>
  </si>
  <si>
    <t>-</t>
  </si>
  <si>
    <t>&lt;</t>
  </si>
  <si>
    <t>=&gt;</t>
  </si>
  <si>
    <t>#  Factors above Benchmark</t>
  </si>
  <si>
    <t>MT Comp</t>
  </si>
  <si>
    <t>Appraisal Comp</t>
  </si>
  <si>
    <t>Accountability</t>
  </si>
  <si>
    <t>Sickness</t>
  </si>
  <si>
    <t>TO</t>
  </si>
  <si>
    <t>Recommend to Work</t>
  </si>
  <si>
    <t>Recommend to be Treated</t>
  </si>
  <si>
    <t>Pos. Feedback</t>
  </si>
  <si>
    <t>Fairly Treated</t>
  </si>
  <si>
    <t>Behaviour</t>
  </si>
  <si>
    <t>Supported</t>
  </si>
  <si>
    <t>Share Ideas</t>
  </si>
  <si>
    <t>Speak Up</t>
  </si>
  <si>
    <t>Q3. 2020.21</t>
  </si>
  <si>
    <t>Q1. 2020.21</t>
  </si>
  <si>
    <t>Staff Sickness =&lt;3.7%</t>
  </si>
  <si>
    <t>Staff Turnover &lt;10%</t>
  </si>
  <si>
    <t>Managers Accountability =&gt;90%</t>
  </si>
  <si>
    <t xml:space="preserve">Recommend as a place to work =&gt;67% </t>
  </si>
  <si>
    <t xml:space="preserve">Local PULSE questions (exclude ‘recommenders’) =&gt;67% </t>
  </si>
  <si>
    <r>
      <t xml:space="preserve">Turnover </t>
    </r>
    <r>
      <rPr>
        <b/>
        <sz val="8"/>
        <color theme="1"/>
        <rFont val="Calibri"/>
        <family val="2"/>
      </rPr>
      <t>(Benchmark =&lt; 10%)</t>
    </r>
  </si>
  <si>
    <r>
      <t xml:space="preserve">I get regular, positive feedback </t>
    </r>
    <r>
      <rPr>
        <b/>
        <sz val="8"/>
        <color theme="1"/>
        <rFont val="Calibri"/>
        <family val="2"/>
      </rPr>
      <t>(Benchmark &gt;= 67%)</t>
    </r>
  </si>
  <si>
    <r>
      <t xml:space="preserve">I feel fairly treated at work </t>
    </r>
    <r>
      <rPr>
        <b/>
        <sz val="8"/>
        <color theme="1"/>
        <rFont val="Calibri"/>
        <family val="2"/>
      </rPr>
      <t>(Benchmark    &gt;= 67%)</t>
    </r>
  </si>
  <si>
    <r>
      <t xml:space="preserve">Overall behaviour in this Trust is respectful </t>
    </r>
    <r>
      <rPr>
        <b/>
        <sz val="8"/>
        <color theme="1"/>
        <rFont val="Calibri"/>
        <family val="2"/>
      </rPr>
      <t>(Benchmark         &gt;= 67%)</t>
    </r>
  </si>
  <si>
    <r>
      <t xml:space="preserve">I am supported to develop in my role </t>
    </r>
    <r>
      <rPr>
        <b/>
        <sz val="8"/>
        <color theme="1"/>
        <rFont val="Calibri"/>
        <family val="2"/>
      </rPr>
      <t>(Benchmark          &gt;= 67%)</t>
    </r>
  </si>
  <si>
    <r>
      <t xml:space="preserve">I am able to share my ideas for improving how we work </t>
    </r>
    <r>
      <rPr>
        <b/>
        <sz val="8"/>
        <color theme="1"/>
        <rFont val="Calibri"/>
        <family val="2"/>
      </rPr>
      <t>(Benchmark &gt;= 67%)</t>
    </r>
  </si>
  <si>
    <r>
      <t xml:space="preserve">I feel safe to speak up about things that concern me in the Trust </t>
    </r>
    <r>
      <rPr>
        <b/>
        <sz val="8"/>
        <color theme="1"/>
        <rFont val="Calibri"/>
        <family val="2"/>
      </rPr>
      <t>(Benchmark &gt;= 67%)</t>
    </r>
  </si>
  <si>
    <t>No. LfE Nominations</t>
  </si>
  <si>
    <t>F2SU Concerns Received</t>
  </si>
  <si>
    <t>HR Ops</t>
  </si>
  <si>
    <r>
      <t>Management Accountability</t>
    </r>
    <r>
      <rPr>
        <b/>
        <sz val="8"/>
        <color theme="1"/>
        <rFont val="Calibri"/>
        <family val="2"/>
      </rPr>
      <t xml:space="preserve"> (Benchmark &gt;= 90%)</t>
    </r>
    <r>
      <rPr>
        <sz val="8"/>
        <color theme="1"/>
        <rFont val="Calibri"/>
        <family val="2"/>
      </rPr>
      <t xml:space="preserve"> (Appraisals Completed and Mandatory Training Compliance))</t>
    </r>
  </si>
  <si>
    <r>
      <t xml:space="preserve">All Sickness </t>
    </r>
    <r>
      <rPr>
        <b/>
        <sz val="8"/>
        <color theme="1"/>
        <rFont val="Calibri"/>
        <family val="2"/>
      </rPr>
      <t>(Benchmark =&lt; 3.98%)</t>
    </r>
  </si>
  <si>
    <t>Q3. 2019.20</t>
  </si>
  <si>
    <t>Q4. 2019.20</t>
  </si>
  <si>
    <t>Q4. 2020.21</t>
  </si>
  <si>
    <t>Recommend as a place to be treated =67%</t>
  </si>
  <si>
    <t>What is the Cultural Inquiry Dashboard and how do I use it to support my team?</t>
  </si>
  <si>
    <t>What is the Cultural Inquiry Dashboard (CID)?</t>
  </si>
  <si>
    <t xml:space="preserve">*  The dashboard has been designed and developed for use as a cultural temperature check; it is not a performance management tool. It has been designed to help the organisation notice early indicators or trends through triangulated data. </t>
  </si>
  <si>
    <t>*  When reviewing the dashboard you will be able to see the areas and services where the indicators suggest there are good levels of staff engagement and positive experience for staff. It also helps to identify those areas which require support and further understanding.</t>
  </si>
  <si>
    <t>How does CID work?</t>
  </si>
  <si>
    <t>* The dashboard uses a binary RAG rating, with green indicating at or above benchmark, red below.  The actual percentages are included which mean each service line can see how close they are to the benchmark.</t>
  </si>
  <si>
    <t>* The benchmarks are:</t>
  </si>
  <si>
    <t>• Mandatory Training and Appraisal  =&gt;90%</t>
  </si>
  <si>
    <t>• All sickness    =&lt;3.98%</t>
  </si>
  <si>
    <t>• Turnover    =&lt;10%</t>
  </si>
  <si>
    <t>• Recommend place to work &amp; treat and 6 PULSE questions  =&gt;67%</t>
  </si>
  <si>
    <t>What is the CID Coversheet?</t>
  </si>
  <si>
    <t>To note…</t>
  </si>
  <si>
    <r>
      <t xml:space="preserve">* The quantitative data alone </t>
    </r>
    <r>
      <rPr>
        <b/>
        <sz val="15"/>
        <color theme="1"/>
        <rFont val="Calibri"/>
        <family val="2"/>
      </rPr>
      <t>does not tell the complete story</t>
    </r>
    <r>
      <rPr>
        <sz val="15"/>
        <color theme="1"/>
        <rFont val="Calibri"/>
        <family val="2"/>
      </rPr>
      <t xml:space="preserve"> of a service or area and </t>
    </r>
    <r>
      <rPr>
        <b/>
        <sz val="15"/>
        <color theme="1"/>
        <rFont val="Calibri"/>
        <family val="2"/>
      </rPr>
      <t>this tool provides the starting place for further exploration</t>
    </r>
    <r>
      <rPr>
        <sz val="15"/>
        <color theme="1"/>
        <rFont val="Calibri"/>
        <family val="2"/>
      </rPr>
      <t xml:space="preserve">.    </t>
    </r>
  </si>
  <si>
    <t>For further information or support with this tool please contact your HR Business Partner or Laura Crossfield, Learning &amp; Organisational Development Lead</t>
  </si>
  <si>
    <t>Q1. 2021.22</t>
  </si>
  <si>
    <t>Charitable</t>
  </si>
  <si>
    <t>216 Integrated Care</t>
  </si>
  <si>
    <t>216 ICP Services Summary</t>
  </si>
  <si>
    <t>Count of HRBPSummaryReport</t>
  </si>
  <si>
    <t>Count of HRBPSummaryReport2</t>
  </si>
  <si>
    <t>ServiceLine</t>
  </si>
  <si>
    <t>216 Junior Doctors</t>
  </si>
  <si>
    <t>In Date</t>
  </si>
  <si>
    <t xml:space="preserve">Service Line </t>
  </si>
  <si>
    <t>Staff Count "In Date"</t>
  </si>
  <si>
    <t>%</t>
  </si>
  <si>
    <t>Headcount</t>
  </si>
  <si>
    <t>Estimated Cost</t>
  </si>
  <si>
    <t>216 Lighthouse External CG</t>
  </si>
  <si>
    <t>216 Lighthouse External Service Summary</t>
  </si>
  <si>
    <t>MEDICINE</t>
  </si>
  <si>
    <t>SURGERY</t>
  </si>
  <si>
    <t>WOMENS &amp; CHILDRENS</t>
  </si>
  <si>
    <t>CSS</t>
  </si>
  <si>
    <t>CORPORATE</t>
  </si>
  <si>
    <t>OTHER</t>
  </si>
  <si>
    <t>Coversheet - Cultural Inquiry Dashboard: Care Group Benchmark Overview</t>
  </si>
  <si>
    <t>Number of Care Groups (N=5) Compliant with Benchmarks</t>
  </si>
  <si>
    <t>Number of Care Groups (N=5) Compliant with Benchmarks (PULSE)</t>
  </si>
  <si>
    <t>Leavers                             (No. of Staff Left in Quarter)</t>
  </si>
  <si>
    <t>Q1 2021.22</t>
  </si>
  <si>
    <t xml:space="preserve"> Section A #  Factors above Benchmark</t>
  </si>
  <si>
    <t>Section A - System Reported Data</t>
  </si>
  <si>
    <t>% of Pulse Respondents against SL</t>
  </si>
  <si>
    <t>Respondent Information</t>
  </si>
  <si>
    <t xml:space="preserve"> Section B  #  Factors above Benchmark</t>
  </si>
  <si>
    <t>Section B - Self- Reported Staff Experience</t>
  </si>
  <si>
    <t>Coversheet - Cultural Inquiry Dashboard: Medicine CG Benchmark Overview</t>
  </si>
  <si>
    <t>Number of Medicine Service Lines (N=14) Compliant with Benchmarks</t>
  </si>
  <si>
    <t>Coversheet - Cultural Inquiry Dashboard: Surgery CG Benchmark Overview</t>
  </si>
  <si>
    <t>Number of Surgery Service Lines (N=17) Compliant with Benchmarks</t>
  </si>
  <si>
    <t>Coversheet - Cultural Inquiry Dashboard: Womens &amp; Childrens CG Benchmark Overview</t>
  </si>
  <si>
    <t>Number of Womens &amp; Childrens Service Lines (N=7) Compliant with Benchmarks</t>
  </si>
  <si>
    <t>Coversheet - Cultural Inquiry Dashboard: Clinical Support Services CG Benchmark Overview</t>
  </si>
  <si>
    <t>Q2. 2021.22</t>
  </si>
  <si>
    <t>Average Headcount</t>
  </si>
  <si>
    <t>Avg FTE</t>
  </si>
  <si>
    <t>Starters Headcount</t>
  </si>
  <si>
    <t>Starters FTE</t>
  </si>
  <si>
    <t>Leavers Headcount</t>
  </si>
  <si>
    <t>Leavers FTE</t>
  </si>
  <si>
    <t>LTR FTE %</t>
  </si>
  <si>
    <t>Number of Clinical Support Services Service Lines (N=5) Compliant with Benchmarks</t>
  </si>
  <si>
    <t xml:space="preserve"> Section B  #  Factors above Benchmark Q2</t>
  </si>
  <si>
    <t>Q2 2021.22</t>
  </si>
  <si>
    <t>Q3. 2021.22</t>
  </si>
  <si>
    <t xml:space="preserve">* Each Service line is compared to objective benchmarks for staff experience metrics, viewed together, these measures provide an indication of staff and team experience. </t>
  </si>
  <si>
    <t>* The dashboard is separated into two main parts - Section A System Reported Data &amp; Section B Self-Reported Staff Experience. Section A is benchmarked against 3 indicators (Management Accountability, Overall Sickness and Turnover), Section B is benchmarked against 8 indicators (the 2 recommender questions and the 6 Pulse Questions).</t>
  </si>
  <si>
    <t>*  The columns labelled ‘#Factors at or above benchmark’ totals how many of the indicators the service line is ‘at’ or ‘better than’.  The arrow indicates the direction of travel for that service line compared to their position on the previous quarter. There are now 3  ‘#Factors at or above benchmark’ columns - one each for Sections A &amp; B and one for overall factors above benchmark.</t>
  </si>
  <si>
    <r>
      <t>* The ‘</t>
    </r>
    <r>
      <rPr>
        <i/>
        <sz val="15"/>
        <color theme="1"/>
        <rFont val="Calibri"/>
        <family val="2"/>
        <scheme val="minor"/>
      </rPr>
      <t xml:space="preserve">CID Coversheet (TW)’ uses </t>
    </r>
    <r>
      <rPr>
        <sz val="15"/>
        <color theme="1"/>
        <rFont val="Calibri"/>
        <family val="2"/>
        <scheme val="minor"/>
      </rPr>
      <t xml:space="preserve">graphs to illustrate the overall Trust- wide position and direction of travel over time for the metrics triangulated through the CID.  </t>
    </r>
  </si>
  <si>
    <r>
      <t>* The ‘CG</t>
    </r>
    <r>
      <rPr>
        <i/>
        <sz val="15"/>
        <color theme="1"/>
        <rFont val="Calibri"/>
        <family val="2"/>
        <scheme val="minor"/>
      </rPr>
      <t xml:space="preserve"> Coversheets’ uses </t>
    </r>
    <r>
      <rPr>
        <sz val="15"/>
        <color theme="1"/>
        <rFont val="Calibri"/>
        <family val="2"/>
        <scheme val="minor"/>
      </rPr>
      <t xml:space="preserve">graphs to illustrate the overall Care-Group position and direction of travel over time for the CID metrics, showing the number of service lines within the care group meeting the benchmarks and their trend data. 
**To note, the Pulse graphs will not necessarily include all service lines as, in any given quarter, the response rate may fall below 5 respondents, the baseline for anonymity purposes.  Therefore these graphs are shown as a percentage. </t>
    </r>
  </si>
  <si>
    <t xml:space="preserve">* The annual National Staff Survey thematic data is available on the dashboard as a static measure.  This data does not count towards the total number of  indicators  a service line has achieved in quarter 3.  The thematic data is on a 0-10pt scale, where 10 is the highest point attainable. In this section, the RAG arrows indicate direction of travel compared to the Service Line’s previous survey position.  The Trust wide mean for each of the  themes is included in the title header.  </t>
  </si>
  <si>
    <t xml:space="preserve">* Where there are any service lines coloured grey it indicates there is no Pulse data available (under 5 repondents) for the service lines to satisfy the need for anonymity. </t>
  </si>
  <si>
    <t>* Some data sets in the dashboard already have established benchmarks which are reported in the Integrated Performance report. Pulse Survey data to date has not had a benchmark in place to establish what level of positive reporting would meet an acceptable standard of staff experience for the organisation. For the purposes of the dashboard, a benchmark of a minimum of two thirds (67%) of staff reporting a positive experience has been set, in line with BAFs.</t>
  </si>
  <si>
    <t>* Any cells that do not contain a directional arrow (Section B - Pulse Survey) means there was no data to compare to in the previous quarter (under 5 respondents).</t>
  </si>
  <si>
    <t xml:space="preserve">Appraisal </t>
  </si>
  <si>
    <t xml:space="preserve">Mandatory Training </t>
  </si>
  <si>
    <t>Staff Sickness</t>
  </si>
  <si>
    <t>Staff Turnover</t>
  </si>
  <si>
    <t>AIM Themes</t>
  </si>
  <si>
    <t>Engagement</t>
  </si>
  <si>
    <t>Advocacy</t>
  </si>
  <si>
    <t>Involvement</t>
  </si>
  <si>
    <t>Motivation</t>
  </si>
  <si>
    <t>Learning From Excellence</t>
  </si>
  <si>
    <t xml:space="preserve">Total LFE Received </t>
  </si>
  <si>
    <t>LFE's from Patients/Friends/Family</t>
  </si>
  <si>
    <t>TBD</t>
  </si>
  <si>
    <t>Coversheet - Cultural Inquiry Dashboard: Trust Wide Overview</t>
  </si>
  <si>
    <t>AIM Themes - Engagement</t>
  </si>
  <si>
    <t>Engagement         (Previous Quarter)</t>
  </si>
  <si>
    <t>Advocacy            (Previous Quarter)</t>
  </si>
  <si>
    <t>Involvement           (Previous Quarter)</t>
  </si>
  <si>
    <t>Motivation          (Previous Quarter)</t>
  </si>
  <si>
    <t xml:space="preserve">Advocacy             </t>
  </si>
  <si>
    <t xml:space="preserve">Advocacy </t>
  </si>
  <si>
    <t xml:space="preserve">Motivation </t>
  </si>
  <si>
    <t>Staff Sickness =&lt;3.98%</t>
  </si>
  <si>
    <t>Patient Experience</t>
  </si>
  <si>
    <t>1 - Very good</t>
  </si>
  <si>
    <t>2 - Good</t>
  </si>
  <si>
    <t>3 - Neither good nor poor</t>
  </si>
  <si>
    <t>4 - Poor</t>
  </si>
  <si>
    <t>5 - Very poor</t>
  </si>
  <si>
    <t>6 - Dont Know</t>
  </si>
  <si>
    <t>Total responses</t>
  </si>
  <si>
    <t>% Very good and good</t>
  </si>
  <si>
    <t>% Poor and very poor</t>
  </si>
  <si>
    <t>%VG</t>
  </si>
  <si>
    <t>General Internal Medicine</t>
  </si>
  <si>
    <t>Thinking about your 'department'  visit or stay, overall, how was your experience of our service?
(Very good &amp; Good)</t>
  </si>
  <si>
    <t>No. of Respondents to Staff  Survey</t>
  </si>
  <si>
    <t>We are compassionate &amp; inclusive (2020)</t>
  </si>
  <si>
    <r>
      <t xml:space="preserve">We are compassionate &amp; inclusive
</t>
    </r>
    <r>
      <rPr>
        <b/>
        <sz val="7"/>
        <color theme="1"/>
        <rFont val="Calibri"/>
        <family val="2"/>
      </rPr>
      <t>UHP Mean: 
7.1</t>
    </r>
  </si>
  <si>
    <t>We are recognised &amp; Rewarded (2020)</t>
  </si>
  <si>
    <r>
      <t xml:space="preserve">We are recognised &amp; Rewarded
</t>
    </r>
    <r>
      <rPr>
        <b/>
        <sz val="7"/>
        <color theme="1"/>
        <rFont val="Calibri"/>
        <family val="2"/>
      </rPr>
      <t>UHP Mean: 
5.8</t>
    </r>
  </si>
  <si>
    <t>We each have a voice that counts  (2020)</t>
  </si>
  <si>
    <r>
      <t xml:space="preserve">We each have a voice that counts
</t>
    </r>
    <r>
      <rPr>
        <b/>
        <sz val="7"/>
        <color theme="1"/>
        <rFont val="Calibri"/>
        <family val="2"/>
      </rPr>
      <t>UHP Mean:
6.6</t>
    </r>
  </si>
  <si>
    <r>
      <t xml:space="preserve">We work Flexibly
</t>
    </r>
    <r>
      <rPr>
        <b/>
        <sz val="7"/>
        <color theme="1"/>
        <rFont val="Calibri"/>
        <family val="2"/>
      </rPr>
      <t>UHP Mean: 
5.8</t>
    </r>
  </si>
  <si>
    <r>
      <t xml:space="preserve">We are a team
</t>
    </r>
    <r>
      <rPr>
        <b/>
        <sz val="7"/>
        <color theme="1"/>
        <rFont val="Calibri"/>
        <family val="2"/>
      </rPr>
      <t>UHP Mean: 6.5</t>
    </r>
  </si>
  <si>
    <r>
      <t xml:space="preserve">Staff Engagement
</t>
    </r>
    <r>
      <rPr>
        <b/>
        <sz val="7"/>
        <color theme="1"/>
        <rFont val="Calibri"/>
        <family val="2"/>
      </rPr>
      <t>UHP Mean:
6.7</t>
    </r>
  </si>
  <si>
    <r>
      <t xml:space="preserve">Morale
</t>
    </r>
    <r>
      <rPr>
        <b/>
        <sz val="7"/>
        <color theme="1"/>
        <rFont val="Calibri"/>
        <family val="2"/>
      </rPr>
      <t>UHP Mean: 
5.6</t>
    </r>
  </si>
  <si>
    <t>We are safe  &amp; Healthy (2020)</t>
  </si>
  <si>
    <t>We work Flexibly (2020)</t>
  </si>
  <si>
    <t>We are always learning (2020)</t>
  </si>
  <si>
    <t>*</t>
  </si>
  <si>
    <t>We are a team      (2020)</t>
  </si>
  <si>
    <t>Staff Engagement (2020)</t>
  </si>
  <si>
    <t>Morale   (2020)</t>
  </si>
  <si>
    <t>We are compassionate &amp; inclusive</t>
  </si>
  <si>
    <t>We are recognised &amp; Rewarded</t>
  </si>
  <si>
    <t>We each have a voice that counts</t>
  </si>
  <si>
    <t>We are safe  &amp; Healthy</t>
  </si>
  <si>
    <t>We are always learning</t>
  </si>
  <si>
    <t>We work Flexibly</t>
  </si>
  <si>
    <t>We are a team</t>
  </si>
  <si>
    <t>CG Costs</t>
  </si>
  <si>
    <t>HCE/Neurology/Thoracic Medicine</t>
  </si>
  <si>
    <t>Hepatology/Nephrology &amp; Transplant</t>
  </si>
  <si>
    <t>Endoscopy/ Gastroenterology</t>
  </si>
  <si>
    <t>Cancer Services SL</t>
  </si>
  <si>
    <t>Corporate Business SL</t>
  </si>
  <si>
    <t>Medical Education SL</t>
  </si>
  <si>
    <t>IM&amp;T SL</t>
  </si>
  <si>
    <t>Nursing &amp; Quality SL</t>
  </si>
  <si>
    <t>Operational Management SL</t>
  </si>
  <si>
    <t>Research &amp; Development SL</t>
  </si>
  <si>
    <t>Site Services SL</t>
  </si>
  <si>
    <t>Urology/ Colorectal/ General and HpB /Oesophago-Gastric</t>
  </si>
  <si>
    <r>
      <t xml:space="preserve">I would recommend the Trust as a place to be treated </t>
    </r>
    <r>
      <rPr>
        <b/>
        <sz val="8"/>
        <color theme="1"/>
        <rFont val="Calibri"/>
        <family val="2"/>
      </rPr>
      <t>(Becnhmark   &gt;= 67%)</t>
    </r>
  </si>
  <si>
    <r>
      <t xml:space="preserve">I would recommend the Trust as a place to work            </t>
    </r>
    <r>
      <rPr>
        <b/>
        <sz val="8"/>
        <color theme="1"/>
        <rFont val="Calibri"/>
        <family val="2"/>
      </rPr>
      <t>(Benchmark &gt;= 67%)</t>
    </r>
  </si>
  <si>
    <r>
      <t xml:space="preserve">Staff Survey Themes - 2021 </t>
    </r>
    <r>
      <rPr>
        <b/>
        <sz val="8"/>
        <color theme="1"/>
        <rFont val="Calibri"/>
        <family val="2"/>
      </rPr>
      <t xml:space="preserve">(0 - 10pt Scale) </t>
    </r>
  </si>
  <si>
    <r>
      <t xml:space="preserve">
We are safe  &amp; Healthy
</t>
    </r>
    <r>
      <rPr>
        <b/>
        <sz val="7"/>
        <color theme="1"/>
        <rFont val="Calibri"/>
        <family val="2"/>
      </rPr>
      <t>UHP Mean:
5.8</t>
    </r>
  </si>
  <si>
    <r>
      <t xml:space="preserve">We are always learning
</t>
    </r>
    <r>
      <rPr>
        <b/>
        <sz val="7"/>
        <color theme="1"/>
        <rFont val="Calibri"/>
        <family val="2"/>
      </rPr>
      <t>UHP Mean:
5.3</t>
    </r>
  </si>
  <si>
    <t>HRBPSummaryReport</t>
  </si>
  <si>
    <t>Values</t>
  </si>
  <si>
    <t>Included</t>
  </si>
  <si>
    <t>Yes</t>
  </si>
  <si>
    <t>Q4. 2021.22</t>
  </si>
  <si>
    <t>Q4 2021.22</t>
  </si>
  <si>
    <t>Organisation Absence</t>
  </si>
  <si>
    <t>Community</t>
  </si>
  <si>
    <t>Mass Vaccination</t>
  </si>
  <si>
    <t>Wards/Dept</t>
  </si>
  <si>
    <t xml:space="preserve">Staff Survey Themes - 2021 (0 - 10pt Scale) </t>
  </si>
  <si>
    <t>Management Accountability (Benchmark &gt;= 90%) (Appraisals Completed and Mandatory Training Compliance))</t>
  </si>
  <si>
    <t>All Sickness (Benchmark =&lt; 3.98%)</t>
  </si>
  <si>
    <t>Turnover (Benchmark =&lt; 10%)</t>
  </si>
  <si>
    <t>I get regular, positive feedback (Benchmark &gt;= 67%)</t>
  </si>
  <si>
    <t>I feel fairly treated at work (Benchmark    &gt;= 67%)</t>
  </si>
  <si>
    <t>Overall behaviour in this Trust is respectful (Benchmark         &gt;= 67%)</t>
  </si>
  <si>
    <t>I am supported to develop in my role (Benchmark          &gt;= 67%)</t>
  </si>
  <si>
    <t>I am able to share my ideas for improving how we work (Benchmark &gt;= 67%)</t>
  </si>
  <si>
    <t>I feel safe to speak up about things that concern me in the Trust (Benchmark &gt;= 67%)</t>
  </si>
  <si>
    <t>We are compassionate &amp; inclusive
UHP Mean: 
7.1</t>
  </si>
  <si>
    <t>We are recognised &amp; Rewarded
UHP Mean: 
5.8</t>
  </si>
  <si>
    <t>We each have a voice that counts
UHP Mean:
6.6</t>
  </si>
  <si>
    <t xml:space="preserve">
We are safe  &amp; Healthy
UHP Mean:
5.8</t>
  </si>
  <si>
    <t>We are always learning
UHP Mean:
5.3</t>
  </si>
  <si>
    <t>We work Flexibly
UHP Mean: 
5.8</t>
  </si>
  <si>
    <t>We are a team
UHP Mean: 6.5</t>
  </si>
  <si>
    <t>Staff Engagement
UHP Mean:
6.7</t>
  </si>
  <si>
    <t>Morale
UHP Mean: 
5.6</t>
  </si>
  <si>
    <t>Mandatory Training Compliance (% of staff 100% compliance)       Q4</t>
  </si>
  <si>
    <t>Appraisal Compliance    Q4</t>
  </si>
  <si>
    <t>Management Accountability (Appraisals Completed and Mandatory Training Compliance))    Q4</t>
  </si>
  <si>
    <t>Stress                            Q4</t>
  </si>
  <si>
    <t>Musculo/Skeletal    Q4</t>
  </si>
  <si>
    <t>All Sickness             Q4</t>
  </si>
  <si>
    <t>Long Term                   Q4</t>
  </si>
  <si>
    <t>Turnover                          Q4</t>
  </si>
  <si>
    <t xml:space="preserve"> Section A #  Factors above Benchmark            Q4</t>
  </si>
  <si>
    <t>No. of Respondents to Pulse Survey        Q4</t>
  </si>
  <si>
    <t>I would recommend the Trust as a place to work (Benchmark &gt;= 67%)    Q4</t>
  </si>
  <si>
    <t>I feel safe to speak up about things that concern me in the Trust (Benchmark &gt;= 67%)                 Q4</t>
  </si>
  <si>
    <t>No. LfE Nominations Q4</t>
  </si>
  <si>
    <t>F2SU Concerns Received   Q4</t>
  </si>
  <si>
    <t>HR Ops  Q4</t>
  </si>
  <si>
    <t>Q1. 2022.23</t>
  </si>
  <si>
    <r>
      <t xml:space="preserve">Mandatory Training Compliance (% of staff 100% compliance)       </t>
    </r>
    <r>
      <rPr>
        <b/>
        <sz val="8"/>
        <color theme="1"/>
        <rFont val="Calibri"/>
        <family val="2"/>
      </rPr>
      <t>Q4</t>
    </r>
  </si>
  <si>
    <r>
      <t xml:space="preserve">Appraisal Compliance    </t>
    </r>
    <r>
      <rPr>
        <b/>
        <sz val="8"/>
        <color theme="1"/>
        <rFont val="Calibri"/>
        <family val="2"/>
      </rPr>
      <t>Q4</t>
    </r>
  </si>
  <si>
    <r>
      <t xml:space="preserve">Management Accountability (Appraisals Completed and Mandatory Training Compliance))    </t>
    </r>
    <r>
      <rPr>
        <b/>
        <sz val="8"/>
        <color theme="1"/>
        <rFont val="Calibri"/>
        <family val="2"/>
      </rPr>
      <t>Q4</t>
    </r>
  </si>
  <si>
    <r>
      <t xml:space="preserve">Stress                            </t>
    </r>
    <r>
      <rPr>
        <b/>
        <sz val="8"/>
        <color theme="1"/>
        <rFont val="Calibri"/>
        <family val="2"/>
      </rPr>
      <t>Q4</t>
    </r>
  </si>
  <si>
    <r>
      <t xml:space="preserve">Musculo/Skeletal    </t>
    </r>
    <r>
      <rPr>
        <b/>
        <sz val="8"/>
        <color theme="1"/>
        <rFont val="Calibri"/>
        <family val="2"/>
      </rPr>
      <t>Q4</t>
    </r>
  </si>
  <si>
    <r>
      <t xml:space="preserve">All Sickness             </t>
    </r>
    <r>
      <rPr>
        <b/>
        <sz val="8"/>
        <color theme="1"/>
        <rFont val="Calibri"/>
        <family val="2"/>
      </rPr>
      <t>Q4</t>
    </r>
  </si>
  <si>
    <r>
      <t xml:space="preserve">Long Term                   </t>
    </r>
    <r>
      <rPr>
        <b/>
        <sz val="8"/>
        <color theme="1"/>
        <rFont val="Calibri"/>
        <family val="2"/>
      </rPr>
      <t>Q4</t>
    </r>
  </si>
  <si>
    <r>
      <t xml:space="preserve">No. of Respondents to Pulse Survey        </t>
    </r>
    <r>
      <rPr>
        <b/>
        <sz val="8"/>
        <color theme="1"/>
        <rFont val="Calibri"/>
        <family val="2"/>
      </rPr>
      <t>Q4</t>
    </r>
  </si>
  <si>
    <r>
      <t xml:space="preserve">I would recommend the Trust as a place to work </t>
    </r>
    <r>
      <rPr>
        <b/>
        <sz val="8"/>
        <color theme="1"/>
        <rFont val="Calibri"/>
        <family val="2"/>
      </rPr>
      <t>(Benchmark &gt;= 67%)    Q4</t>
    </r>
  </si>
  <si>
    <r>
      <t xml:space="preserve">I would recommend the Trust as a place to be treated </t>
    </r>
    <r>
      <rPr>
        <b/>
        <sz val="8"/>
        <color theme="1"/>
        <rFont val="Calibri"/>
        <family val="2"/>
      </rPr>
      <t>(Becnhmark            &gt;= 67%)   Q4</t>
    </r>
  </si>
  <si>
    <r>
      <t xml:space="preserve">I get regular, positive feedback </t>
    </r>
    <r>
      <rPr>
        <b/>
        <sz val="8"/>
        <color theme="1"/>
        <rFont val="Calibri"/>
        <family val="2"/>
      </rPr>
      <t>(Benchmark &gt;= 67%)                        Q4</t>
    </r>
  </si>
  <si>
    <r>
      <t xml:space="preserve">I feel fairly treated at work </t>
    </r>
    <r>
      <rPr>
        <b/>
        <sz val="8"/>
        <color theme="1"/>
        <rFont val="Calibri"/>
        <family val="2"/>
      </rPr>
      <t>(Benchmark &gt;= 67%)                        Q4</t>
    </r>
  </si>
  <si>
    <r>
      <t xml:space="preserve">Overall behaviour in this Trust is respectful </t>
    </r>
    <r>
      <rPr>
        <b/>
        <sz val="8"/>
        <color theme="1"/>
        <rFont val="Calibri"/>
        <family val="2"/>
      </rPr>
      <t>(Benchmark &gt;= 67%)                  Q4</t>
    </r>
  </si>
  <si>
    <r>
      <t xml:space="preserve">I am supported to develop in my role </t>
    </r>
    <r>
      <rPr>
        <b/>
        <sz val="8"/>
        <color theme="1"/>
        <rFont val="Calibri"/>
        <family val="2"/>
      </rPr>
      <t>(Benchmark &gt;= 67%)                  Q4</t>
    </r>
  </si>
  <si>
    <r>
      <t xml:space="preserve">I am able to share my ideas for improving how we work </t>
    </r>
    <r>
      <rPr>
        <b/>
        <sz val="8"/>
        <color theme="1"/>
        <rFont val="Calibri"/>
        <family val="2"/>
      </rPr>
      <t>(Benchmark &gt;= 67%)                      Q4</t>
    </r>
  </si>
  <si>
    <r>
      <t xml:space="preserve">I feel safe to speak up about things that concern me in the Trust </t>
    </r>
    <r>
      <rPr>
        <b/>
        <sz val="8"/>
        <color theme="1"/>
        <rFont val="Calibri"/>
        <family val="2"/>
      </rPr>
      <t>(Benchmark &gt;= 67%)                 Q4</t>
    </r>
  </si>
  <si>
    <t>LfE Nominations</t>
  </si>
  <si>
    <t>HR OPS</t>
  </si>
  <si>
    <t>F2SU</t>
  </si>
  <si>
    <t>Percentage of Medicine Service Lines (Exlcuding Service lines with Reponses &lt; 5) Compliant with Benchmarks (PULSE)</t>
  </si>
  <si>
    <t>Percentage of Surgery Service Lines (Exlcuding Service lines with Reponses &lt; 5) Compliant with Benchmarks (PULSE)</t>
  </si>
  <si>
    <t>Percentage of Womens &amp; Childrens Service Lines (Exlcuding Service lines with Reponses &lt; 5) Compliant with Benchmarks (PULSE)</t>
  </si>
  <si>
    <t>Percentage of Clinical Support Services Service Lines (Exlcuding Service lines with Reponses &lt; 5) Compliant with Benchmarks (PULSE)</t>
  </si>
  <si>
    <t>I would recommend the Trust as a place to work            (Benchmark &gt;= 67%)</t>
  </si>
  <si>
    <t>I would recommend the Trust as a place to be treated (Becnhmark   &gt;= 67%)</t>
  </si>
  <si>
    <t>I would recommend the Trust as a place to be treated (Becnhmark            &gt;= 67%)   Q4</t>
  </si>
  <si>
    <t>I get regular, positive feedback (Benchmark &gt;= 67%)                        Q4</t>
  </si>
  <si>
    <t>I feel fairly treated at work (Benchmark &gt;= 67%)                        Q4</t>
  </si>
  <si>
    <t>Overall behaviour in this Trust is respectful (Benchmark &gt;= 67%)                  Q4</t>
  </si>
  <si>
    <t>I am supported to develop in my role (Benchmark &gt;= 67%)                  Q4</t>
  </si>
  <si>
    <t>I am able to share my ideas for improving how we work (Benchmark &gt;= 67%)                      Q4</t>
  </si>
  <si>
    <t>I have the time at work to look after my well-being</t>
  </si>
  <si>
    <t>2022 / 09</t>
  </si>
  <si>
    <t>216 University Hospitals Plymouth NHS Trust</t>
  </si>
  <si>
    <t>216 Clinical Support SL Management Costs Summary</t>
  </si>
  <si>
    <t>Q2. 2022.23</t>
  </si>
  <si>
    <t>Stress                            Q1</t>
  </si>
  <si>
    <r>
      <t xml:space="preserve">Musculo/Skeletal    </t>
    </r>
    <r>
      <rPr>
        <b/>
        <sz val="8"/>
        <color theme="1"/>
        <rFont val="Calibri"/>
        <family val="2"/>
      </rPr>
      <t>Q1</t>
    </r>
  </si>
  <si>
    <r>
      <t xml:space="preserve">All Sickness             </t>
    </r>
    <r>
      <rPr>
        <b/>
        <sz val="8"/>
        <color theme="1"/>
        <rFont val="Calibri"/>
        <family val="2"/>
      </rPr>
      <t>Q1</t>
    </r>
  </si>
  <si>
    <r>
      <t xml:space="preserve">Long Term                   </t>
    </r>
    <r>
      <rPr>
        <b/>
        <sz val="8"/>
        <color theme="1"/>
        <rFont val="Calibri"/>
        <family val="2"/>
      </rPr>
      <t>Q1</t>
    </r>
  </si>
  <si>
    <r>
      <t xml:space="preserve">Turnover                         </t>
    </r>
    <r>
      <rPr>
        <b/>
        <sz val="8"/>
        <color theme="1"/>
        <rFont val="Calibri"/>
        <family val="2"/>
      </rPr>
      <t xml:space="preserve"> Q1</t>
    </r>
  </si>
  <si>
    <t xml:space="preserve"> Section A #  Factors above Benchmark            Q1</t>
  </si>
  <si>
    <t>Q1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</si>
</sst>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0%"/>
    <numFmt numFmtId="167" formatCode="[$£]#,##0.00;\-[$£]#,##0.00"/>
    <numFmt numFmtId="168" formatCode="#,##0.0000;[Red]\-#,##0.0000"/>
    <numFmt numFmtId="169" formatCode="#,##0.0000"/>
  </numFmts>
  <fonts count="30" x14ac:knownFonts="1">
    <font>
      <sz val="11"/>
      <color theme="1"/>
      <name val="Calibri"/>
    </font>
    <font>
      <sz val="11"/>
      <color theme="1"/>
      <name val="Calibri"/>
      <family val="2"/>
      <scheme val="minor"/>
    </font>
    <font>
      <sz val="11"/>
      <color theme="1"/>
      <name val="Calibri"/>
      <family val="2"/>
      <scheme val="minor"/>
    </font>
    <font>
      <b/>
      <sz val="10"/>
      <color rgb="FF0066CC"/>
      <name val="Calibri"/>
      <family val="2"/>
    </font>
    <font>
      <b/>
      <sz val="8"/>
      <color theme="1"/>
      <name val="Calibri"/>
      <family val="2"/>
    </font>
    <font>
      <b/>
      <sz val="8"/>
      <color rgb="FFFFFFFF"/>
      <name val="Calibri"/>
      <family val="2"/>
    </font>
    <font>
      <sz val="8"/>
      <color theme="1"/>
      <name val="Calibri"/>
      <family val="2"/>
    </font>
    <font>
      <sz val="8"/>
      <color theme="1"/>
      <name val="Calibri"/>
      <family val="2"/>
    </font>
    <font>
      <b/>
      <sz val="10"/>
      <name val="Arial"/>
      <family val="2"/>
    </font>
    <font>
      <b/>
      <sz val="8"/>
      <color theme="1"/>
      <name val="Calibri"/>
      <family val="2"/>
    </font>
    <font>
      <sz val="11"/>
      <color theme="1"/>
      <name val="Calibri"/>
      <family val="2"/>
    </font>
    <font>
      <b/>
      <sz val="11"/>
      <color theme="1"/>
      <name val="Calibri"/>
      <family val="2"/>
    </font>
    <font>
      <b/>
      <sz val="7"/>
      <color theme="1"/>
      <name val="Calibri"/>
      <family val="2"/>
    </font>
    <font>
      <sz val="8"/>
      <name val="Calibri"/>
      <family val="2"/>
    </font>
    <font>
      <sz val="11"/>
      <name val="Calibri"/>
      <family val="2"/>
    </font>
    <font>
      <b/>
      <sz val="16"/>
      <color theme="1"/>
      <name val="Calibri"/>
      <family val="2"/>
    </font>
    <font>
      <b/>
      <sz val="17"/>
      <color theme="1"/>
      <name val="Calibri"/>
      <family val="2"/>
    </font>
    <font>
      <sz val="15"/>
      <color theme="1"/>
      <name val="Calibri"/>
      <family val="2"/>
    </font>
    <font>
      <sz val="12"/>
      <color theme="1"/>
      <name val="Calibri"/>
      <family val="2"/>
    </font>
    <font>
      <sz val="15"/>
      <color theme="1"/>
      <name val="Calibri"/>
      <family val="2"/>
      <scheme val="minor"/>
    </font>
    <font>
      <i/>
      <sz val="15"/>
      <color theme="1"/>
      <name val="Calibri"/>
      <family val="2"/>
      <scheme val="minor"/>
    </font>
    <font>
      <b/>
      <sz val="15"/>
      <color theme="1"/>
      <name val="Calibri"/>
      <family val="2"/>
    </font>
    <font>
      <b/>
      <sz val="14"/>
      <color theme="1"/>
      <name val="Calibri"/>
      <family val="2"/>
    </font>
    <font>
      <sz val="8"/>
      <name val="Calibri"/>
      <family val="2"/>
    </font>
    <font>
      <b/>
      <sz val="11"/>
      <name val="Calibri"/>
      <family val="2"/>
    </font>
    <font>
      <sz val="11"/>
      <color rgb="FFFF0000"/>
      <name val="Calibri"/>
      <family val="2"/>
    </font>
    <font>
      <b/>
      <sz val="11"/>
      <color theme="0"/>
      <name val="Calibri"/>
      <family val="2"/>
      <scheme val="minor"/>
    </font>
    <font>
      <sz val="11"/>
      <name val="Calibri"/>
      <family val="2"/>
      <scheme val="minor"/>
    </font>
    <font>
      <b/>
      <sz val="8"/>
      <color theme="1"/>
      <name val="Calibri"/>
      <family val="2"/>
      <scheme val="minor"/>
    </font>
    <font>
      <b/>
      <sz val="10"/>
      <color theme="1"/>
      <name val="Arial"/>
      <family val="2"/>
    </font>
  </fonts>
  <fills count="14">
    <fill>
      <patternFill patternType="none"/>
    </fill>
    <fill>
      <patternFill patternType="gray125"/>
    </fill>
    <fill>
      <patternFill patternType="solid">
        <fgColor rgb="FFFFFFFF"/>
      </patternFill>
    </fill>
    <fill>
      <patternFill patternType="solid">
        <fgColor rgb="FFF0F4FA"/>
      </patternFill>
    </fill>
    <fill>
      <patternFill patternType="solid">
        <fgColor rgb="FF0066CC"/>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A5A5A5"/>
      </patternFill>
    </fill>
    <fill>
      <patternFill patternType="solid">
        <fgColor theme="0" tint="-0.34998626667073579"/>
        <bgColor indexed="64"/>
      </patternFill>
    </fill>
    <fill>
      <patternFill patternType="solid">
        <fgColor theme="4" tint="0.79998168889431442"/>
        <bgColor theme="4" tint="0.79998168889431442"/>
      </patternFill>
    </fill>
  </fills>
  <borders count="104">
    <border>
      <left/>
      <right/>
      <top/>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style="thin">
        <color rgb="FFFFFFFF"/>
      </top>
      <bottom/>
      <diagonal/>
    </border>
    <border>
      <left/>
      <right style="thin">
        <color rgb="FF979991"/>
      </right>
      <top style="thin">
        <color rgb="FF979991"/>
      </top>
      <bottom style="thin">
        <color rgb="FF979991"/>
      </bottom>
      <diagonal/>
    </border>
    <border>
      <left style="thin">
        <color rgb="FF979991"/>
      </left>
      <right style="thin">
        <color rgb="FF979991"/>
      </right>
      <top style="thin">
        <color rgb="FF979991"/>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medium">
        <color indexed="64"/>
      </top>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A6A6A6"/>
      </left>
      <right style="thin">
        <color rgb="FFA6A6A6"/>
      </right>
      <top style="thin">
        <color rgb="FFA6A6A6"/>
      </top>
      <bottom/>
      <diagonal/>
    </border>
    <border>
      <left/>
      <right/>
      <top style="thin">
        <color theme="4" tint="0.39997558519241921"/>
      </top>
      <bottom/>
      <diagonal/>
    </border>
    <border>
      <left/>
      <right/>
      <top/>
      <bottom style="thin">
        <color theme="4" tint="0.39997558519241921"/>
      </bottom>
      <diagonal/>
    </border>
    <border>
      <left style="thin">
        <color rgb="FFFFFFFF"/>
      </left>
      <right/>
      <top/>
      <bottom/>
      <diagonal/>
    </border>
  </borders>
  <cellStyleXfs count="5">
    <xf numFmtId="0" fontId="0" fillId="0" borderId="0"/>
    <xf numFmtId="0" fontId="10" fillId="0" borderId="0"/>
    <xf numFmtId="0" fontId="26" fillId="11" borderId="94" applyNumberFormat="0" applyAlignment="0" applyProtection="0"/>
    <xf numFmtId="0" fontId="2" fillId="0" borderId="0"/>
    <xf numFmtId="0" fontId="1" fillId="0" borderId="0"/>
  </cellStyleXfs>
  <cellXfs count="678">
    <xf numFmtId="0" fontId="0" fillId="0" borderId="0" xfId="0"/>
    <xf numFmtId="0" fontId="3" fillId="0" borderId="0" xfId="0" applyFont="1" applyAlignment="1">
      <alignment horizontal="left" vertical="top" wrapText="1"/>
    </xf>
    <xf numFmtId="10" fontId="6" fillId="2" borderId="2" xfId="0" applyNumberFormat="1" applyFont="1" applyFill="1" applyBorder="1" applyAlignment="1">
      <alignment horizontal="right" vertical="top" wrapText="1"/>
    </xf>
    <xf numFmtId="10" fontId="4" fillId="3" borderId="2" xfId="0" applyNumberFormat="1" applyFont="1" applyFill="1" applyBorder="1" applyAlignment="1">
      <alignment horizontal="right" vertical="top" wrapText="1"/>
    </xf>
    <xf numFmtId="0" fontId="6" fillId="2" borderId="2" xfId="0" applyFont="1" applyFill="1" applyBorder="1" applyAlignment="1">
      <alignment horizontal="left" vertical="top" wrapText="1"/>
    </xf>
    <xf numFmtId="0" fontId="0" fillId="0" borderId="0" xfId="0" applyNumberFormat="1"/>
    <xf numFmtId="0" fontId="0" fillId="0" borderId="0" xfId="0" pivotButton="1"/>
    <xf numFmtId="0" fontId="7" fillId="0" borderId="0" xfId="0" applyFont="1"/>
    <xf numFmtId="0" fontId="7" fillId="3" borderId="4" xfId="0" applyFont="1" applyFill="1" applyBorder="1" applyAlignment="1">
      <alignment horizontal="left" vertical="top" wrapText="1"/>
    </xf>
    <xf numFmtId="0" fontId="7" fillId="2" borderId="2" xfId="0" applyFont="1" applyFill="1" applyBorder="1" applyAlignment="1">
      <alignment horizontal="left" vertical="top" wrapText="1"/>
    </xf>
    <xf numFmtId="10" fontId="0" fillId="0" borderId="0" xfId="0" applyNumberFormat="1"/>
    <xf numFmtId="0" fontId="7" fillId="0" borderId="0" xfId="0" applyFont="1" applyAlignment="1">
      <alignment wrapText="1"/>
    </xf>
    <xf numFmtId="0" fontId="7" fillId="0" borderId="6" xfId="0" applyFont="1" applyBorder="1"/>
    <xf numFmtId="0" fontId="7" fillId="0" borderId="0" xfId="0" applyFont="1" applyBorder="1" applyAlignment="1"/>
    <xf numFmtId="0" fontId="0" fillId="0" borderId="0" xfId="0" applyNumberFormat="1" applyAlignment="1">
      <alignment horizontal="center"/>
    </xf>
    <xf numFmtId="10" fontId="0" fillId="0" borderId="0" xfId="0" applyNumberFormat="1" applyAlignment="1">
      <alignment horizontal="center"/>
    </xf>
    <xf numFmtId="0" fontId="8" fillId="0" borderId="0" xfId="0" applyFont="1"/>
    <xf numFmtId="10" fontId="7" fillId="2" borderId="5" xfId="0" applyNumberFormat="1" applyFont="1" applyFill="1" applyBorder="1" applyAlignment="1">
      <alignment horizontal="center" vertical="top" wrapText="1"/>
    </xf>
    <xf numFmtId="0" fontId="0" fillId="6" borderId="0" xfId="0" applyFill="1"/>
    <xf numFmtId="0" fontId="0" fillId="6" borderId="0" xfId="0" applyFill="1" applyAlignment="1">
      <alignment horizontal="center"/>
    </xf>
    <xf numFmtId="10" fontId="0" fillId="6" borderId="0" xfId="0" applyNumberFormat="1" applyFill="1" applyAlignment="1">
      <alignment horizontal="center"/>
    </xf>
    <xf numFmtId="0" fontId="7" fillId="6" borderId="0" xfId="0" applyFont="1" applyFill="1"/>
    <xf numFmtId="0" fontId="9" fillId="0" borderId="11" xfId="0" applyFont="1" applyBorder="1" applyAlignment="1">
      <alignment horizontal="center"/>
    </xf>
    <xf numFmtId="0" fontId="7" fillId="2" borderId="21" xfId="0" applyFont="1" applyFill="1" applyBorder="1" applyAlignment="1">
      <alignment horizontal="center" vertical="top" wrapText="1"/>
    </xf>
    <xf numFmtId="10" fontId="7" fillId="2" borderId="21" xfId="0" applyNumberFormat="1" applyFont="1" applyFill="1" applyBorder="1" applyAlignment="1">
      <alignment horizontal="center" vertical="top" wrapText="1"/>
    </xf>
    <xf numFmtId="0" fontId="7" fillId="0" borderId="21" xfId="0" applyFont="1" applyBorder="1" applyAlignment="1">
      <alignment horizontal="center"/>
    </xf>
    <xf numFmtId="0" fontId="7" fillId="0" borderId="26" xfId="0" applyFont="1" applyBorder="1" applyAlignment="1">
      <alignment horizontal="center" wrapText="1"/>
    </xf>
    <xf numFmtId="10" fontId="7" fillId="0" borderId="26" xfId="0" applyNumberFormat="1" applyFont="1" applyBorder="1" applyAlignment="1">
      <alignment horizontal="center" wrapText="1"/>
    </xf>
    <xf numFmtId="0" fontId="7" fillId="0" borderId="25" xfId="0" applyFont="1" applyBorder="1" applyAlignment="1">
      <alignment horizontal="center" wrapText="1"/>
    </xf>
    <xf numFmtId="0" fontId="7" fillId="0" borderId="28" xfId="0" applyFont="1" applyBorder="1" applyAlignment="1">
      <alignment horizontal="center" wrapText="1"/>
    </xf>
    <xf numFmtId="0" fontId="7" fillId="0" borderId="27" xfId="0" applyFont="1" applyBorder="1" applyAlignment="1">
      <alignment horizontal="center"/>
    </xf>
    <xf numFmtId="0" fontId="7" fillId="0" borderId="29" xfId="0" applyFont="1" applyBorder="1" applyAlignment="1">
      <alignment horizontal="center" wrapText="1"/>
    </xf>
    <xf numFmtId="0" fontId="7" fillId="2" borderId="22"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7" xfId="0" applyFont="1" applyFill="1" applyBorder="1" applyAlignment="1">
      <alignment horizontal="left" vertical="top" wrapText="1"/>
    </xf>
    <xf numFmtId="10" fontId="7" fillId="2" borderId="18" xfId="0" applyNumberFormat="1" applyFont="1" applyFill="1" applyBorder="1" applyAlignment="1">
      <alignment horizontal="center" vertical="top" wrapText="1"/>
    </xf>
    <xf numFmtId="0" fontId="0" fillId="0" borderId="0" xfId="0" applyAlignment="1">
      <alignment horizontal="center"/>
    </xf>
    <xf numFmtId="10" fontId="7" fillId="6" borderId="0" xfId="0" applyNumberFormat="1" applyFont="1" applyFill="1"/>
    <xf numFmtId="10" fontId="7" fillId="0" borderId="9" xfId="0" applyNumberFormat="1" applyFont="1" applyBorder="1"/>
    <xf numFmtId="10" fontId="7" fillId="0" borderId="10" xfId="0" applyNumberFormat="1" applyFont="1" applyBorder="1"/>
    <xf numFmtId="10" fontId="7" fillId="0" borderId="20" xfId="0" applyNumberFormat="1" applyFont="1" applyBorder="1"/>
    <xf numFmtId="10" fontId="7" fillId="0" borderId="25" xfId="0" applyNumberFormat="1" applyFont="1" applyBorder="1" applyAlignment="1">
      <alignment horizontal="center" wrapText="1"/>
    </xf>
    <xf numFmtId="10" fontId="7" fillId="0" borderId="22" xfId="0" applyNumberFormat="1" applyFont="1" applyBorder="1" applyAlignment="1">
      <alignment horizontal="center"/>
    </xf>
    <xf numFmtId="10" fontId="7" fillId="0" borderId="21" xfId="0" applyNumberFormat="1" applyFont="1" applyBorder="1" applyAlignment="1">
      <alignment horizontal="center"/>
    </xf>
    <xf numFmtId="10" fontId="7" fillId="0" borderId="23" xfId="0" applyNumberFormat="1" applyFont="1" applyBorder="1" applyAlignment="1">
      <alignment horizontal="center"/>
    </xf>
    <xf numFmtId="10" fontId="7" fillId="0" borderId="0" xfId="0" applyNumberFormat="1" applyFont="1"/>
    <xf numFmtId="10" fontId="7" fillId="0" borderId="6" xfId="0" applyNumberFormat="1" applyFont="1" applyBorder="1"/>
    <xf numFmtId="10" fontId="7" fillId="0" borderId="0" xfId="0" applyNumberFormat="1" applyFont="1" applyBorder="1"/>
    <xf numFmtId="10" fontId="7" fillId="0" borderId="7" xfId="0" applyNumberFormat="1" applyFont="1" applyBorder="1"/>
    <xf numFmtId="10" fontId="7" fillId="0" borderId="8" xfId="0" applyNumberFormat="1" applyFont="1" applyBorder="1"/>
    <xf numFmtId="10" fontId="7" fillId="0" borderId="28" xfId="0" applyNumberFormat="1" applyFont="1" applyFill="1" applyBorder="1" applyAlignment="1">
      <alignment horizontal="center" wrapText="1"/>
    </xf>
    <xf numFmtId="10" fontId="7" fillId="0" borderId="15" xfId="0" applyNumberFormat="1" applyFont="1" applyBorder="1" applyAlignment="1">
      <alignment horizontal="center"/>
    </xf>
    <xf numFmtId="10" fontId="7" fillId="0" borderId="5" xfId="0" applyNumberFormat="1" applyFont="1" applyBorder="1" applyAlignment="1">
      <alignment horizontal="center"/>
    </xf>
    <xf numFmtId="10" fontId="7" fillId="0" borderId="17" xfId="0" applyNumberFormat="1" applyFont="1" applyBorder="1" applyAlignment="1">
      <alignment horizontal="center"/>
    </xf>
    <xf numFmtId="10" fontId="7" fillId="0" borderId="18" xfId="0" applyNumberFormat="1" applyFont="1" applyBorder="1" applyAlignment="1">
      <alignment horizontal="center"/>
    </xf>
    <xf numFmtId="0" fontId="10" fillId="0" borderId="0" xfId="0" applyFont="1" applyAlignment="1">
      <alignment horizontal="center"/>
    </xf>
    <xf numFmtId="0" fontId="10" fillId="0" borderId="0" xfId="0" quotePrefix="1" applyFont="1" applyAlignment="1">
      <alignment horizontal="center"/>
    </xf>
    <xf numFmtId="0" fontId="0" fillId="0" borderId="0" xfId="0" quotePrefix="1" applyAlignment="1">
      <alignment horizontal="center"/>
    </xf>
    <xf numFmtId="0" fontId="9" fillId="0" borderId="31" xfId="0" applyFont="1" applyBorder="1" applyAlignment="1">
      <alignment horizontal="center"/>
    </xf>
    <xf numFmtId="10" fontId="7" fillId="2" borderId="23" xfId="0" applyNumberFormat="1" applyFont="1" applyFill="1" applyBorder="1" applyAlignment="1">
      <alignment horizontal="center" vertical="top" wrapText="1"/>
    </xf>
    <xf numFmtId="10" fontId="7" fillId="0" borderId="24" xfId="0" applyNumberFormat="1" applyFont="1" applyBorder="1" applyAlignment="1">
      <alignment horizontal="center"/>
    </xf>
    <xf numFmtId="0" fontId="9" fillId="0" borderId="24" xfId="0" applyFont="1" applyBorder="1" applyAlignment="1">
      <alignment horizontal="center"/>
    </xf>
    <xf numFmtId="0" fontId="0" fillId="6" borderId="0" xfId="0" applyNumberFormat="1" applyFill="1" applyAlignment="1">
      <alignment horizontal="center"/>
    </xf>
    <xf numFmtId="0" fontId="7" fillId="2" borderId="21" xfId="0" applyNumberFormat="1" applyFont="1" applyFill="1" applyBorder="1" applyAlignment="1">
      <alignment horizontal="center" vertical="top" wrapText="1"/>
    </xf>
    <xf numFmtId="0" fontId="7" fillId="6" borderId="0" xfId="0" applyNumberFormat="1" applyFont="1" applyFill="1"/>
    <xf numFmtId="0" fontId="7" fillId="0" borderId="0" xfId="0" applyNumberFormat="1" applyFont="1" applyBorder="1"/>
    <xf numFmtId="0" fontId="7" fillId="0" borderId="0" xfId="0" applyNumberFormat="1" applyFont="1"/>
    <xf numFmtId="0" fontId="7" fillId="0" borderId="8" xfId="0" applyNumberFormat="1" applyFont="1" applyBorder="1"/>
    <xf numFmtId="0" fontId="7" fillId="0" borderId="35" xfId="0" applyNumberFormat="1" applyFont="1" applyBorder="1"/>
    <xf numFmtId="0" fontId="7" fillId="0" borderId="10" xfId="0" applyNumberFormat="1" applyFont="1" applyBorder="1"/>
    <xf numFmtId="0" fontId="7" fillId="0" borderId="36" xfId="0" applyNumberFormat="1" applyFont="1" applyBorder="1"/>
    <xf numFmtId="0" fontId="7" fillId="0" borderId="5" xfId="0" applyFont="1" applyBorder="1"/>
    <xf numFmtId="0" fontId="7" fillId="2" borderId="5" xfId="0" applyFont="1" applyFill="1" applyBorder="1" applyAlignment="1">
      <alignment horizontal="left" vertical="top" wrapText="1"/>
    </xf>
    <xf numFmtId="0" fontId="10" fillId="0" borderId="0" xfId="0" applyFont="1"/>
    <xf numFmtId="0" fontId="0" fillId="0" borderId="0" xfId="0" applyFill="1" applyBorder="1"/>
    <xf numFmtId="0" fontId="5" fillId="0" borderId="0" xfId="0" applyFont="1" applyFill="1" applyBorder="1" applyAlignment="1">
      <alignment horizontal="left" vertical="top" wrapText="1"/>
    </xf>
    <xf numFmtId="4" fontId="6" fillId="0" borderId="0" xfId="0" applyNumberFormat="1" applyFont="1" applyFill="1" applyBorder="1" applyAlignment="1">
      <alignment horizontal="right" vertical="top" wrapText="1"/>
    </xf>
    <xf numFmtId="10" fontId="6" fillId="0" borderId="0" xfId="0" applyNumberFormat="1" applyFont="1" applyFill="1" applyBorder="1" applyAlignment="1">
      <alignment horizontal="right" vertical="top" wrapText="1"/>
    </xf>
    <xf numFmtId="38" fontId="6" fillId="0" borderId="0" xfId="0" applyNumberFormat="1" applyFont="1" applyFill="1" applyBorder="1" applyAlignment="1">
      <alignment horizontal="right" vertical="top" wrapText="1"/>
    </xf>
    <xf numFmtId="4" fontId="6" fillId="0" borderId="0" xfId="0" applyNumberFormat="1" applyFont="1" applyFill="1" applyBorder="1" applyAlignment="1">
      <alignment horizontal="right" vertical="top"/>
    </xf>
    <xf numFmtId="0" fontId="4" fillId="0" borderId="0" xfId="0" applyFont="1" applyFill="1" applyBorder="1" applyAlignment="1">
      <alignment vertical="top" wrapText="1"/>
    </xf>
    <xf numFmtId="4" fontId="4" fillId="0" borderId="0" xfId="0" applyNumberFormat="1" applyFont="1" applyFill="1" applyBorder="1" applyAlignment="1">
      <alignment horizontal="right" vertical="top" wrapText="1"/>
    </xf>
    <xf numFmtId="10" fontId="4" fillId="0" borderId="0" xfId="0" applyNumberFormat="1" applyFont="1" applyFill="1" applyBorder="1" applyAlignment="1">
      <alignment horizontal="right" vertical="top" wrapText="1"/>
    </xf>
    <xf numFmtId="38" fontId="4" fillId="0" borderId="0" xfId="0" applyNumberFormat="1" applyFont="1" applyFill="1" applyBorder="1" applyAlignment="1">
      <alignment horizontal="right" vertical="top" wrapText="1"/>
    </xf>
    <xf numFmtId="4" fontId="4" fillId="0" borderId="0" xfId="0" applyNumberFormat="1" applyFont="1" applyFill="1" applyBorder="1" applyAlignment="1">
      <alignment horizontal="right" vertical="top"/>
    </xf>
    <xf numFmtId="0" fontId="0" fillId="0" borderId="0" xfId="0" applyFill="1" applyBorder="1" applyAlignment="1">
      <alignment horizontal="right" vertical="top" wrapText="1"/>
    </xf>
    <xf numFmtId="0" fontId="6" fillId="0" borderId="0" xfId="0" applyFont="1" applyFill="1" applyBorder="1" applyAlignment="1">
      <alignment horizontal="left" vertical="top" wrapText="1"/>
    </xf>
    <xf numFmtId="4" fontId="0" fillId="0" borderId="0" xfId="0" applyNumberFormat="1" applyFill="1" applyBorder="1"/>
    <xf numFmtId="0" fontId="5" fillId="0" borderId="0" xfId="0" applyFont="1" applyFill="1" applyBorder="1" applyAlignment="1">
      <alignment vertical="top" wrapText="1"/>
    </xf>
    <xf numFmtId="164" fontId="7" fillId="5" borderId="5" xfId="0" applyNumberFormat="1" applyFont="1" applyFill="1" applyBorder="1" applyAlignment="1">
      <alignment horizontal="center"/>
    </xf>
    <xf numFmtId="0" fontId="9" fillId="0" borderId="31" xfId="0" applyFont="1" applyBorder="1" applyAlignment="1">
      <alignment horizontal="center"/>
    </xf>
    <xf numFmtId="10" fontId="7" fillId="2" borderId="41" xfId="0" applyNumberFormat="1" applyFont="1" applyFill="1" applyBorder="1" applyAlignment="1">
      <alignment horizontal="center" vertical="top" wrapText="1"/>
    </xf>
    <xf numFmtId="0" fontId="7" fillId="2" borderId="18" xfId="0" applyNumberFormat="1" applyFont="1" applyFill="1" applyBorder="1" applyAlignment="1">
      <alignment horizontal="center" vertical="top" wrapText="1"/>
    </xf>
    <xf numFmtId="10" fontId="7" fillId="2" borderId="19" xfId="0" applyNumberFormat="1" applyFont="1" applyFill="1" applyBorder="1" applyAlignment="1">
      <alignment horizontal="center" vertical="top" wrapText="1"/>
    </xf>
    <xf numFmtId="10" fontId="7" fillId="2" borderId="43" xfId="0" applyNumberFormat="1" applyFont="1" applyFill="1" applyBorder="1" applyAlignment="1">
      <alignment horizontal="center" vertical="top" wrapText="1"/>
    </xf>
    <xf numFmtId="0" fontId="7" fillId="2" borderId="19" xfId="0" applyNumberFormat="1" applyFont="1" applyFill="1" applyBorder="1" applyAlignment="1">
      <alignment horizontal="center" vertical="top" wrapText="1"/>
    </xf>
    <xf numFmtId="10" fontId="9" fillId="0" borderId="30" xfId="0" applyNumberFormat="1" applyFont="1" applyBorder="1" applyAlignment="1">
      <alignment horizontal="center"/>
    </xf>
    <xf numFmtId="0" fontId="0" fillId="0" borderId="0" xfId="0" applyBorder="1" applyAlignment="1">
      <alignment horizontal="center"/>
    </xf>
    <xf numFmtId="0" fontId="0" fillId="0" borderId="31" xfId="0" applyBorder="1"/>
    <xf numFmtId="0" fontId="0" fillId="0" borderId="0" xfId="0" applyBorder="1"/>
    <xf numFmtId="0" fontId="9" fillId="0" borderId="0" xfId="0" applyFont="1" applyBorder="1" applyAlignment="1">
      <alignment horizontal="center"/>
    </xf>
    <xf numFmtId="0" fontId="7" fillId="0" borderId="0"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6" xfId="0" applyBorder="1"/>
    <xf numFmtId="0" fontId="0" fillId="0" borderId="7" xfId="0" applyBorder="1"/>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7" xfId="0" applyFont="1" applyBorder="1" applyAlignment="1">
      <alignment horizontal="center" vertical="center" wrapText="1"/>
    </xf>
    <xf numFmtId="164" fontId="7" fillId="6" borderId="22" xfId="0" applyNumberFormat="1" applyFont="1" applyFill="1" applyBorder="1" applyAlignment="1">
      <alignment horizontal="center"/>
    </xf>
    <xf numFmtId="164" fontId="7" fillId="6" borderId="21" xfId="0" applyNumberFormat="1" applyFont="1" applyFill="1" applyBorder="1" applyAlignment="1">
      <alignment horizontal="center"/>
    </xf>
    <xf numFmtId="164" fontId="7" fillId="6" borderId="50" xfId="0" applyNumberFormat="1" applyFont="1" applyFill="1" applyBorder="1" applyAlignment="1">
      <alignment horizontal="center"/>
    </xf>
    <xf numFmtId="164" fontId="7" fillId="6" borderId="5" xfId="0" applyNumberFormat="1" applyFont="1" applyFill="1" applyBorder="1" applyAlignment="1">
      <alignment horizontal="center"/>
    </xf>
    <xf numFmtId="164" fontId="7" fillId="5" borderId="46" xfId="0" applyNumberFormat="1" applyFont="1" applyFill="1" applyBorder="1" applyAlignment="1">
      <alignment horizontal="center"/>
    </xf>
    <xf numFmtId="164" fontId="7" fillId="5" borderId="50" xfId="0" applyNumberFormat="1" applyFont="1" applyFill="1" applyBorder="1" applyAlignment="1">
      <alignment horizontal="center"/>
    </xf>
    <xf numFmtId="164" fontId="7" fillId="5" borderId="34" xfId="0" applyNumberFormat="1" applyFont="1" applyFill="1" applyBorder="1" applyAlignment="1">
      <alignment horizontal="center"/>
    </xf>
    <xf numFmtId="164" fontId="7" fillId="6" borderId="15" xfId="0" applyNumberFormat="1" applyFont="1" applyFill="1" applyBorder="1" applyAlignment="1">
      <alignment horizontal="center"/>
    </xf>
    <xf numFmtId="164" fontId="7" fillId="6" borderId="15" xfId="0" applyNumberFormat="1" applyFont="1" applyFill="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7" fillId="5" borderId="22"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1" xfId="0" applyFont="1" applyFill="1" applyBorder="1" applyAlignment="1">
      <alignment horizontal="center" vertical="center"/>
    </xf>
    <xf numFmtId="0" fontId="7" fillId="0" borderId="16" xfId="0" applyFont="1" applyBorder="1" applyAlignment="1">
      <alignment horizontal="center" vertical="center"/>
    </xf>
    <xf numFmtId="0" fontId="7" fillId="5" borderId="1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5" xfId="0" applyFont="1" applyFill="1" applyBorder="1" applyAlignment="1">
      <alignment horizontal="center" vertical="center"/>
    </xf>
    <xf numFmtId="0" fontId="7" fillId="6" borderId="16" xfId="0" applyFont="1" applyFill="1" applyBorder="1" applyAlignment="1">
      <alignment horizontal="center" vertical="center"/>
    </xf>
    <xf numFmtId="0" fontId="7" fillId="5" borderId="18" xfId="0" applyFont="1" applyFill="1" applyBorder="1" applyAlignment="1">
      <alignment horizontal="center" vertical="center"/>
    </xf>
    <xf numFmtId="0" fontId="7" fillId="6" borderId="23" xfId="0" applyFont="1" applyFill="1" applyBorder="1" applyAlignment="1">
      <alignment horizontal="center" vertical="center"/>
    </xf>
    <xf numFmtId="0" fontId="13" fillId="0" borderId="48" xfId="0" applyFont="1" applyBorder="1" applyAlignment="1">
      <alignment horizontal="center" vertical="center"/>
    </xf>
    <xf numFmtId="0" fontId="13" fillId="0" borderId="53" xfId="0" applyFont="1" applyBorder="1" applyAlignment="1">
      <alignment horizontal="center" vertical="center"/>
    </xf>
    <xf numFmtId="0" fontId="7" fillId="6" borderId="19" xfId="0" applyFont="1" applyFill="1" applyBorder="1" applyAlignment="1">
      <alignment horizontal="center" vertical="center"/>
    </xf>
    <xf numFmtId="0" fontId="13" fillId="6" borderId="54" xfId="0" applyFont="1" applyFill="1" applyBorder="1" applyAlignment="1">
      <alignment horizontal="center" vertical="center"/>
    </xf>
    <xf numFmtId="0" fontId="13" fillId="6" borderId="19" xfId="0" applyFont="1" applyFill="1" applyBorder="1" applyAlignment="1">
      <alignment horizontal="center" vertical="center"/>
    </xf>
    <xf numFmtId="164" fontId="0" fillId="0" borderId="0" xfId="0" applyNumberFormat="1"/>
    <xf numFmtId="164" fontId="7" fillId="0" borderId="22" xfId="0" applyNumberFormat="1" applyFont="1" applyBorder="1" applyAlignment="1">
      <alignment horizontal="center"/>
    </xf>
    <xf numFmtId="164" fontId="7" fillId="0" borderId="5" xfId="0" applyNumberFormat="1" applyFont="1" applyBorder="1" applyAlignment="1">
      <alignment horizontal="center"/>
    </xf>
    <xf numFmtId="164" fontId="7" fillId="0" borderId="46" xfId="0" applyNumberFormat="1" applyFont="1" applyBorder="1" applyAlignment="1">
      <alignment horizontal="center"/>
    </xf>
    <xf numFmtId="164" fontId="7" fillId="0" borderId="55" xfId="0" applyNumberFormat="1" applyFont="1" applyBorder="1" applyAlignment="1">
      <alignment horizontal="center"/>
    </xf>
    <xf numFmtId="164" fontId="7" fillId="0" borderId="53" xfId="0" applyNumberFormat="1" applyFont="1" applyBorder="1" applyAlignment="1">
      <alignment horizontal="center"/>
    </xf>
    <xf numFmtId="164" fontId="7" fillId="0" borderId="56" xfId="0" applyNumberFormat="1" applyFont="1" applyBorder="1" applyAlignment="1">
      <alignment horizontal="center" vertical="center"/>
    </xf>
    <xf numFmtId="164" fontId="7" fillId="0" borderId="18" xfId="0" applyNumberFormat="1" applyFont="1" applyBorder="1" applyAlignment="1">
      <alignment horizontal="center"/>
    </xf>
    <xf numFmtId="164" fontId="7" fillId="0" borderId="43" xfId="0" applyNumberFormat="1" applyFont="1" applyBorder="1" applyAlignment="1">
      <alignment horizontal="center"/>
    </xf>
    <xf numFmtId="0" fontId="7" fillId="0" borderId="0" xfId="0" applyFont="1" applyAlignment="1">
      <alignment horizontal="center"/>
    </xf>
    <xf numFmtId="10" fontId="7" fillId="2" borderId="24" xfId="0" applyNumberFormat="1" applyFont="1" applyFill="1" applyBorder="1" applyAlignment="1">
      <alignment horizontal="center" vertical="top" wrapText="1"/>
    </xf>
    <xf numFmtId="0" fontId="7" fillId="0" borderId="0" xfId="0" applyFont="1" applyBorder="1" applyAlignment="1">
      <alignment vertical="center" wrapText="1"/>
    </xf>
    <xf numFmtId="0" fontId="7" fillId="0" borderId="0" xfId="0" applyFont="1" applyAlignment="1">
      <alignment vertical="center" wrapText="1"/>
    </xf>
    <xf numFmtId="0" fontId="0" fillId="0" borderId="20" xfId="0" applyBorder="1" applyAlignment="1">
      <alignment horizontal="center"/>
    </xf>
    <xf numFmtId="10" fontId="7" fillId="5" borderId="5" xfId="1" applyNumberFormat="1" applyFont="1" applyFill="1" applyBorder="1" applyAlignment="1">
      <alignment horizontal="center"/>
    </xf>
    <xf numFmtId="1" fontId="7" fillId="5" borderId="5" xfId="1" applyNumberFormat="1" applyFont="1" applyFill="1" applyBorder="1" applyAlignment="1">
      <alignment horizontal="center"/>
    </xf>
    <xf numFmtId="0" fontId="7" fillId="5" borderId="5" xfId="1" applyFont="1" applyFill="1" applyBorder="1" applyAlignment="1">
      <alignment horizontal="left" vertical="top" wrapText="1"/>
    </xf>
    <xf numFmtId="10" fontId="7" fillId="7" borderId="26" xfId="0" applyNumberFormat="1" applyFont="1" applyFill="1" applyBorder="1" applyAlignment="1">
      <alignment horizontal="center" vertical="center" wrapText="1"/>
    </xf>
    <xf numFmtId="165" fontId="7" fillId="0" borderId="23" xfId="0" applyNumberFormat="1" applyFont="1" applyBorder="1" applyAlignment="1">
      <alignment horizontal="center"/>
    </xf>
    <xf numFmtId="0" fontId="14" fillId="0" borderId="0" xfId="0" applyFont="1" applyFill="1" applyBorder="1"/>
    <xf numFmtId="0" fontId="14" fillId="0" borderId="0" xfId="0" applyFont="1"/>
    <xf numFmtId="15" fontId="11" fillId="0" borderId="0" xfId="0" applyNumberFormat="1" applyFont="1" applyAlignment="1">
      <alignment horizontal="left" vertical="top"/>
    </xf>
    <xf numFmtId="0" fontId="15" fillId="0" borderId="0" xfId="0" applyFont="1" applyAlignment="1"/>
    <xf numFmtId="0" fontId="0" fillId="0" borderId="0" xfId="0" applyNumberFormat="1" applyFill="1" applyBorder="1"/>
    <xf numFmtId="0" fontId="7" fillId="0" borderId="22" xfId="0" applyNumberFormat="1" applyFont="1" applyBorder="1" applyAlignment="1">
      <alignment horizontal="center"/>
    </xf>
    <xf numFmtId="0" fontId="0" fillId="0" borderId="0" xfId="0"/>
    <xf numFmtId="0" fontId="0" fillId="0" borderId="0" xfId="0" applyAlignment="1">
      <alignment horizontal="center" vertical="top" wrapText="1"/>
    </xf>
    <xf numFmtId="0" fontId="0" fillId="2" borderId="1" xfId="0" applyFill="1" applyBorder="1" applyAlignment="1">
      <alignment horizontal="left" vertical="top" wrapText="1"/>
    </xf>
    <xf numFmtId="0" fontId="0" fillId="2" borderId="71" xfId="0" applyFill="1" applyBorder="1" applyAlignment="1">
      <alignment horizontal="left" vertical="top" wrapText="1"/>
    </xf>
    <xf numFmtId="0" fontId="5" fillId="4" borderId="3" xfId="0" applyFont="1" applyFill="1" applyBorder="1" applyAlignment="1">
      <alignment horizontal="left" vertical="top" wrapText="1"/>
    </xf>
    <xf numFmtId="0" fontId="0" fillId="4" borderId="4" xfId="0" applyFill="1" applyBorder="1" applyAlignment="1">
      <alignment horizontal="left" vertical="top" wrapText="1"/>
    </xf>
    <xf numFmtId="0" fontId="6" fillId="3" borderId="2" xfId="0" applyFont="1" applyFill="1" applyBorder="1" applyAlignment="1">
      <alignment horizontal="left" vertical="top"/>
    </xf>
    <xf numFmtId="0" fontId="0" fillId="3" borderId="2" xfId="0" applyFill="1" applyBorder="1" applyAlignment="1">
      <alignment horizontal="left" vertical="top"/>
    </xf>
    <xf numFmtId="38" fontId="6" fillId="2" borderId="3" xfId="0" applyNumberFormat="1" applyFont="1" applyFill="1" applyBorder="1" applyAlignment="1">
      <alignment horizontal="right" vertical="top" wrapText="1"/>
    </xf>
    <xf numFmtId="0" fontId="5" fillId="4" borderId="72" xfId="0" applyFont="1" applyFill="1" applyBorder="1" applyAlignment="1">
      <alignment horizontal="left" vertical="top" wrapText="1"/>
    </xf>
    <xf numFmtId="2" fontId="0" fillId="0" borderId="0" xfId="0" applyNumberFormat="1" applyAlignment="1">
      <alignment horizontal="center"/>
    </xf>
    <xf numFmtId="10" fontId="7" fillId="6" borderId="22" xfId="0" applyNumberFormat="1" applyFont="1" applyFill="1" applyBorder="1" applyAlignment="1">
      <alignment horizontal="center"/>
    </xf>
    <xf numFmtId="0" fontId="8" fillId="5" borderId="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0" fillId="0" borderId="0" xfId="0" applyAlignment="1">
      <alignment horizontal="left"/>
    </xf>
    <xf numFmtId="0" fontId="5" fillId="4" borderId="73" xfId="0" applyFont="1" applyFill="1" applyBorder="1" applyAlignment="1">
      <alignment horizontal="left" vertical="top" wrapText="1"/>
    </xf>
    <xf numFmtId="0" fontId="0" fillId="2" borderId="2" xfId="0" applyFill="1" applyBorder="1" applyAlignment="1">
      <alignment horizontal="right" vertical="top" wrapText="1"/>
    </xf>
    <xf numFmtId="1" fontId="6" fillId="2" borderId="2" xfId="0" applyNumberFormat="1" applyFont="1" applyFill="1" applyBorder="1" applyAlignment="1">
      <alignment horizontal="right" vertical="top" wrapText="1"/>
    </xf>
    <xf numFmtId="167" fontId="6" fillId="2" borderId="3" xfId="0" applyNumberFormat="1" applyFont="1" applyFill="1" applyBorder="1" applyAlignment="1">
      <alignment horizontal="right" vertical="top" wrapText="1"/>
    </xf>
    <xf numFmtId="0" fontId="0" fillId="3" borderId="2" xfId="0" applyFill="1" applyBorder="1" applyAlignment="1">
      <alignment horizontal="right" vertical="top" wrapText="1"/>
    </xf>
    <xf numFmtId="1" fontId="4" fillId="3" borderId="2" xfId="0" applyNumberFormat="1" applyFont="1" applyFill="1" applyBorder="1" applyAlignment="1">
      <alignment horizontal="right" vertical="top" wrapText="1"/>
    </xf>
    <xf numFmtId="167" fontId="4" fillId="3" borderId="3" xfId="0" applyNumberFormat="1" applyFont="1" applyFill="1" applyBorder="1" applyAlignment="1">
      <alignment horizontal="right" vertical="top" wrapText="1"/>
    </xf>
    <xf numFmtId="0" fontId="5" fillId="4" borderId="4" xfId="0" applyFont="1" applyFill="1" applyBorder="1" applyAlignment="1">
      <alignment horizontal="left" vertical="top" wrapText="1"/>
    </xf>
    <xf numFmtId="0" fontId="7" fillId="0" borderId="8" xfId="0" applyFont="1" applyBorder="1"/>
    <xf numFmtId="0" fontId="0" fillId="0" borderId="9" xfId="0" applyBorder="1" applyAlignment="1">
      <alignment horizontal="center"/>
    </xf>
    <xf numFmtId="0" fontId="7" fillId="0" borderId="0" xfId="0" applyFont="1" applyAlignment="1">
      <alignment horizontal="center" vertical="center" wrapText="1"/>
    </xf>
    <xf numFmtId="0" fontId="7" fillId="2" borderId="5" xfId="0" applyFont="1" applyFill="1" applyBorder="1" applyAlignment="1">
      <alignment horizontal="center" vertical="top" wrapText="1"/>
    </xf>
    <xf numFmtId="0" fontId="7" fillId="0" borderId="5" xfId="0" applyFont="1" applyBorder="1" applyAlignment="1">
      <alignment horizontal="center"/>
    </xf>
    <xf numFmtId="0" fontId="7" fillId="0" borderId="15" xfId="0" applyFont="1" applyBorder="1" applyAlignment="1">
      <alignment horizontal="center"/>
    </xf>
    <xf numFmtId="0" fontId="7" fillId="0" borderId="17"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51" xfId="0" applyFont="1" applyBorder="1" applyAlignment="1">
      <alignment horizontal="center"/>
    </xf>
    <xf numFmtId="10" fontId="14" fillId="0" borderId="0" xfId="0" applyNumberFormat="1" applyFont="1" applyFill="1" applyBorder="1"/>
    <xf numFmtId="0" fontId="10" fillId="0" borderId="0" xfId="0" applyNumberFormat="1" applyFont="1"/>
    <xf numFmtId="0" fontId="7" fillId="0" borderId="6" xfId="0" applyNumberFormat="1" applyFont="1" applyBorder="1"/>
    <xf numFmtId="0" fontId="7" fillId="0" borderId="18" xfId="0" applyFont="1" applyBorder="1" applyAlignment="1">
      <alignment horizontal="center" wrapText="1"/>
    </xf>
    <xf numFmtId="0" fontId="7" fillId="7" borderId="19" xfId="0" applyFont="1" applyFill="1" applyBorder="1" applyAlignment="1">
      <alignment horizontal="center" vertical="center" wrapText="1"/>
    </xf>
    <xf numFmtId="10" fontId="7" fillId="0" borderId="17" xfId="0" applyNumberFormat="1" applyFont="1" applyBorder="1" applyAlignment="1">
      <alignment horizontal="center" wrapText="1"/>
    </xf>
    <xf numFmtId="10" fontId="7" fillId="7" borderId="18" xfId="0" applyNumberFormat="1"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0" borderId="75" xfId="0" applyNumberFormat="1" applyFont="1" applyBorder="1" applyAlignment="1">
      <alignment horizontal="center" vertical="center" wrapText="1"/>
    </xf>
    <xf numFmtId="10" fontId="7" fillId="0" borderId="17" xfId="0" applyNumberFormat="1" applyFont="1" applyBorder="1" applyAlignment="1">
      <alignment horizontal="center" vertical="center" wrapText="1"/>
    </xf>
    <xf numFmtId="10" fontId="7" fillId="0" borderId="18" xfId="0" applyNumberFormat="1" applyFont="1" applyBorder="1" applyAlignment="1">
      <alignment horizontal="center" vertical="center" wrapText="1"/>
    </xf>
    <xf numFmtId="0" fontId="7" fillId="0" borderId="43" xfId="0" applyNumberFormat="1" applyFont="1" applyBorder="1" applyAlignment="1">
      <alignment horizontal="center" vertical="center" wrapText="1"/>
    </xf>
    <xf numFmtId="10" fontId="7" fillId="0" borderId="43" xfId="0" applyNumberFormat="1" applyFont="1" applyFill="1" applyBorder="1" applyAlignment="1">
      <alignment horizontal="center" vertical="center" wrapText="1"/>
    </xf>
    <xf numFmtId="10" fontId="7" fillId="0" borderId="19" xfId="0" applyNumberFormat="1" applyFont="1" applyFill="1" applyBorder="1" applyAlignment="1">
      <alignment horizontal="center" vertical="center" wrapText="1"/>
    </xf>
    <xf numFmtId="10" fontId="7" fillId="7" borderId="17" xfId="0" applyNumberFormat="1" applyFont="1" applyFill="1" applyBorder="1" applyAlignment="1">
      <alignment horizontal="center" vertical="center" wrapText="1"/>
    </xf>
    <xf numFmtId="10" fontId="7" fillId="5" borderId="11" xfId="1" applyNumberFormat="1" applyFont="1" applyFill="1" applyBorder="1" applyAlignment="1">
      <alignment horizontal="center"/>
    </xf>
    <xf numFmtId="10" fontId="7" fillId="6" borderId="18" xfId="0" applyNumberFormat="1" applyFont="1" applyFill="1" applyBorder="1" applyAlignment="1">
      <alignment horizontal="center" vertical="center" wrapText="1"/>
    </xf>
    <xf numFmtId="10" fontId="7" fillId="6" borderId="54" xfId="0" applyNumberFormat="1" applyFont="1" applyFill="1" applyBorder="1" applyAlignment="1">
      <alignment horizontal="center" vertical="center" wrapText="1"/>
    </xf>
    <xf numFmtId="0" fontId="9" fillId="0" borderId="47" xfId="0" applyFont="1" applyBorder="1" applyAlignment="1">
      <alignment horizontal="center"/>
    </xf>
    <xf numFmtId="1" fontId="7" fillId="7" borderId="29" xfId="0" applyNumberFormat="1" applyFont="1" applyFill="1" applyBorder="1" applyAlignment="1">
      <alignment horizontal="center" vertical="center" wrapText="1"/>
    </xf>
    <xf numFmtId="1" fontId="7" fillId="0" borderId="26" xfId="0" applyNumberFormat="1" applyFont="1" applyBorder="1" applyAlignment="1">
      <alignment horizontal="center" vertical="center" wrapText="1"/>
    </xf>
    <xf numFmtId="2" fontId="7" fillId="7" borderId="26" xfId="0" applyNumberFormat="1" applyFont="1" applyFill="1" applyBorder="1" applyAlignment="1">
      <alignment horizontal="center" vertical="center" wrapText="1"/>
    </xf>
    <xf numFmtId="1" fontId="7" fillId="7" borderId="26" xfId="0" applyNumberFormat="1" applyFont="1" applyFill="1" applyBorder="1" applyAlignment="1">
      <alignment horizontal="center" vertical="center" wrapText="1"/>
    </xf>
    <xf numFmtId="1" fontId="7" fillId="7" borderId="27" xfId="0" applyNumberFormat="1" applyFont="1" applyFill="1" applyBorder="1" applyAlignment="1">
      <alignment horizontal="center" vertical="center" wrapText="1"/>
    </xf>
    <xf numFmtId="2" fontId="7" fillId="7" borderId="28" xfId="0" applyNumberFormat="1" applyFont="1" applyFill="1" applyBorder="1" applyAlignment="1">
      <alignment horizontal="center" vertical="center" wrapText="1"/>
    </xf>
    <xf numFmtId="1" fontId="7" fillId="0" borderId="37" xfId="0" applyNumberFormat="1" applyFont="1" applyBorder="1" applyAlignment="1">
      <alignment horizontal="center" vertical="center" wrapText="1"/>
    </xf>
    <xf numFmtId="0" fontId="9" fillId="0" borderId="39" xfId="0" applyFont="1" applyBorder="1" applyAlignment="1">
      <alignment horizontal="center" vertical="center" wrapText="1"/>
    </xf>
    <xf numFmtId="1" fontId="7" fillId="6" borderId="29" xfId="0" applyNumberFormat="1" applyFont="1" applyFill="1" applyBorder="1" applyAlignment="1">
      <alignment horizontal="center" vertical="center" wrapText="1"/>
    </xf>
    <xf numFmtId="1" fontId="7" fillId="6" borderId="26" xfId="0" applyNumberFormat="1" applyFont="1" applyFill="1" applyBorder="1" applyAlignment="1">
      <alignment horizontal="center" vertical="center" wrapText="1"/>
    </xf>
    <xf numFmtId="1" fontId="7" fillId="6" borderId="27" xfId="0" applyNumberFormat="1"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0" borderId="16" xfId="0" applyFont="1" applyBorder="1" applyAlignment="1">
      <alignment horizontal="center"/>
    </xf>
    <xf numFmtId="10" fontId="7" fillId="5" borderId="16" xfId="1" applyNumberFormat="1" applyFont="1" applyFill="1" applyBorder="1" applyAlignment="1">
      <alignment horizontal="center"/>
    </xf>
    <xf numFmtId="0" fontId="7" fillId="0" borderId="18" xfId="0" applyFont="1" applyBorder="1" applyAlignment="1">
      <alignment horizontal="center"/>
    </xf>
    <xf numFmtId="10" fontId="7" fillId="0" borderId="76" xfId="0" applyNumberFormat="1" applyFont="1" applyBorder="1" applyAlignment="1">
      <alignment horizontal="center"/>
    </xf>
    <xf numFmtId="0" fontId="7" fillId="2" borderId="77" xfId="0" applyNumberFormat="1" applyFont="1" applyFill="1" applyBorder="1" applyAlignment="1">
      <alignment horizontal="center" vertical="top" wrapText="1"/>
    </xf>
    <xf numFmtId="10" fontId="7" fillId="0" borderId="77" xfId="0" applyNumberFormat="1" applyFont="1" applyBorder="1" applyAlignment="1">
      <alignment horizontal="center"/>
    </xf>
    <xf numFmtId="10" fontId="7" fillId="2" borderId="77" xfId="0" applyNumberFormat="1" applyFont="1" applyFill="1" applyBorder="1" applyAlignment="1">
      <alignment horizontal="center" vertical="top" wrapText="1"/>
    </xf>
    <xf numFmtId="10" fontId="7" fillId="2" borderId="78" xfId="0" applyNumberFormat="1" applyFont="1" applyFill="1" applyBorder="1" applyAlignment="1">
      <alignment horizontal="center" vertical="top" wrapText="1"/>
    </xf>
    <xf numFmtId="10" fontId="7" fillId="2" borderId="76" xfId="0" applyNumberFormat="1" applyFont="1" applyFill="1" applyBorder="1" applyAlignment="1">
      <alignment horizontal="center" vertical="top" wrapText="1"/>
    </xf>
    <xf numFmtId="0" fontId="7" fillId="0" borderId="19" xfId="0" applyFont="1" applyBorder="1" applyAlignment="1">
      <alignment horizontal="center"/>
    </xf>
    <xf numFmtId="10" fontId="7" fillId="0" borderId="57" xfId="0" applyNumberFormat="1" applyFont="1" applyBorder="1" applyAlignment="1">
      <alignment horizontal="center"/>
    </xf>
    <xf numFmtId="0" fontId="7" fillId="2" borderId="41" xfId="0" applyFont="1" applyFill="1" applyBorder="1" applyAlignment="1">
      <alignment horizontal="center" vertical="top" wrapText="1"/>
    </xf>
    <xf numFmtId="10" fontId="0" fillId="6" borderId="6" xfId="0" applyNumberFormat="1" applyFill="1" applyBorder="1" applyAlignment="1">
      <alignment horizontal="center"/>
    </xf>
    <xf numFmtId="10" fontId="0" fillId="6" borderId="0" xfId="0" applyNumberFormat="1" applyFill="1" applyBorder="1" applyAlignment="1">
      <alignment horizontal="center"/>
    </xf>
    <xf numFmtId="0" fontId="0" fillId="6" borderId="0" xfId="0" applyNumberFormat="1" applyFill="1" applyBorder="1" applyAlignment="1">
      <alignment horizontal="center"/>
    </xf>
    <xf numFmtId="0" fontId="0" fillId="6" borderId="0" xfId="0" applyFill="1" applyBorder="1" applyAlignment="1">
      <alignment horizontal="center"/>
    </xf>
    <xf numFmtId="10" fontId="0" fillId="0" borderId="6" xfId="0" applyNumberFormat="1" applyBorder="1" applyAlignment="1">
      <alignment horizontal="center"/>
    </xf>
    <xf numFmtId="10" fontId="0" fillId="0" borderId="0" xfId="0" applyNumberFormat="1" applyBorder="1" applyAlignment="1">
      <alignment horizontal="center"/>
    </xf>
    <xf numFmtId="0" fontId="0" fillId="0" borderId="0" xfId="0" applyNumberFormat="1" applyBorder="1" applyAlignment="1">
      <alignment horizontal="center"/>
    </xf>
    <xf numFmtId="0" fontId="9" fillId="0" borderId="19" xfId="0" applyFont="1" applyBorder="1" applyAlignment="1">
      <alignment horizontal="center" vertical="center" wrapText="1"/>
    </xf>
    <xf numFmtId="10" fontId="7" fillId="2" borderId="22" xfId="0" applyNumberFormat="1" applyFont="1" applyFill="1" applyBorder="1" applyAlignment="1">
      <alignment horizontal="center" vertical="top" wrapText="1"/>
    </xf>
    <xf numFmtId="0" fontId="7" fillId="2" borderId="23" xfId="0" applyNumberFormat="1" applyFont="1" applyFill="1" applyBorder="1" applyAlignment="1">
      <alignment horizontal="center" vertical="top" wrapText="1"/>
    </xf>
    <xf numFmtId="10" fontId="7" fillId="2" borderId="15" xfId="0" applyNumberFormat="1" applyFont="1" applyFill="1" applyBorder="1" applyAlignment="1">
      <alignment horizontal="center" vertical="top" wrapText="1"/>
    </xf>
    <xf numFmtId="0" fontId="7" fillId="2" borderId="16" xfId="0" applyNumberFormat="1" applyFont="1" applyFill="1" applyBorder="1" applyAlignment="1">
      <alignment horizontal="center" vertical="top" wrapText="1"/>
    </xf>
    <xf numFmtId="10" fontId="7" fillId="2" borderId="17" xfId="0" applyNumberFormat="1" applyFont="1" applyFill="1" applyBorder="1" applyAlignment="1">
      <alignment horizontal="center" vertical="top" wrapText="1"/>
    </xf>
    <xf numFmtId="10" fontId="7" fillId="0" borderId="51" xfId="0" applyNumberFormat="1" applyFont="1" applyBorder="1" applyAlignment="1">
      <alignment horizontal="center"/>
    </xf>
    <xf numFmtId="10" fontId="7" fillId="2" borderId="51" xfId="0" applyNumberFormat="1" applyFont="1" applyFill="1" applyBorder="1" applyAlignment="1">
      <alignment horizontal="center" vertical="top" wrapText="1"/>
    </xf>
    <xf numFmtId="10" fontId="7" fillId="2" borderId="57" xfId="0" applyNumberFormat="1" applyFont="1" applyFill="1" applyBorder="1" applyAlignment="1">
      <alignment horizontal="center" vertical="top" wrapText="1"/>
    </xf>
    <xf numFmtId="0" fontId="7" fillId="0" borderId="21" xfId="0" applyFont="1" applyBorder="1"/>
    <xf numFmtId="0" fontId="7" fillId="0" borderId="27" xfId="0" applyFont="1" applyBorder="1" applyAlignment="1">
      <alignment horizontal="center" vertical="center" wrapText="1"/>
    </xf>
    <xf numFmtId="0" fontId="7" fillId="2" borderId="18" xfId="0" applyFont="1" applyFill="1" applyBorder="1" applyAlignment="1">
      <alignment horizontal="left" vertical="top" wrapText="1"/>
    </xf>
    <xf numFmtId="0" fontId="7" fillId="2" borderId="19" xfId="0" applyFont="1" applyFill="1" applyBorder="1" applyAlignment="1">
      <alignment horizontal="center" vertical="top" wrapText="1"/>
    </xf>
    <xf numFmtId="0" fontId="7" fillId="0" borderId="40" xfId="0" applyFont="1" applyBorder="1" applyAlignment="1">
      <alignment horizontal="center" wrapText="1"/>
    </xf>
    <xf numFmtId="0" fontId="7" fillId="0" borderId="47" xfId="0" applyFont="1" applyBorder="1" applyAlignment="1">
      <alignment horizontal="center" wrapText="1"/>
    </xf>
    <xf numFmtId="10" fontId="14" fillId="0" borderId="0" xfId="0" applyNumberFormat="1" applyFont="1"/>
    <xf numFmtId="15" fontId="11" fillId="0" borderId="0" xfId="0" applyNumberFormat="1" applyFont="1" applyAlignment="1">
      <alignment vertical="top"/>
    </xf>
    <xf numFmtId="0" fontId="15" fillId="0" borderId="0" xfId="0" applyFont="1"/>
    <xf numFmtId="10" fontId="7" fillId="6" borderId="5" xfId="1" applyNumberFormat="1" applyFont="1" applyFill="1" applyBorder="1" applyAlignment="1">
      <alignment horizontal="center"/>
    </xf>
    <xf numFmtId="1" fontId="7" fillId="6" borderId="5" xfId="1" applyNumberFormat="1" applyFont="1" applyFill="1" applyBorder="1" applyAlignment="1">
      <alignment horizontal="center"/>
    </xf>
    <xf numFmtId="10" fontId="7" fillId="6" borderId="11" xfId="1" applyNumberFormat="1" applyFont="1" applyFill="1" applyBorder="1" applyAlignment="1">
      <alignment horizontal="center"/>
    </xf>
    <xf numFmtId="0" fontId="7" fillId="6" borderId="18" xfId="0" applyNumberFormat="1" applyFont="1" applyFill="1" applyBorder="1" applyAlignment="1">
      <alignment horizontal="center" vertical="center" wrapText="1"/>
    </xf>
    <xf numFmtId="0" fontId="0" fillId="0" borderId="0" xfId="0" applyAlignment="1">
      <alignment horizontal="center"/>
    </xf>
    <xf numFmtId="0" fontId="7" fillId="0" borderId="48" xfId="0" applyFont="1" applyBorder="1" applyAlignment="1">
      <alignment horizontal="center" vertical="center"/>
    </xf>
    <xf numFmtId="0" fontId="7" fillId="0" borderId="53" xfId="0" applyFont="1" applyBorder="1" applyAlignment="1">
      <alignment horizontal="center" vertical="center"/>
    </xf>
    <xf numFmtId="0" fontId="7" fillId="5" borderId="53"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53" xfId="0" applyFont="1" applyFill="1" applyBorder="1" applyAlignment="1">
      <alignment horizontal="center" vertical="center"/>
    </xf>
    <xf numFmtId="164" fontId="7" fillId="6" borderId="79" xfId="0" applyNumberFormat="1" applyFont="1" applyFill="1" applyBorder="1" applyAlignment="1">
      <alignment horizontal="center"/>
    </xf>
    <xf numFmtId="0" fontId="7" fillId="2" borderId="5" xfId="0" applyNumberFormat="1" applyFont="1" applyFill="1" applyBorder="1" applyAlignment="1">
      <alignment horizontal="center" vertical="top" wrapText="1"/>
    </xf>
    <xf numFmtId="10" fontId="7" fillId="2" borderId="16" xfId="0" applyNumberFormat="1" applyFont="1" applyFill="1" applyBorder="1" applyAlignment="1">
      <alignment horizontal="center" vertical="top" wrapText="1"/>
    </xf>
    <xf numFmtId="10" fontId="7" fillId="2" borderId="46" xfId="0" applyNumberFormat="1" applyFont="1" applyFill="1" applyBorder="1" applyAlignment="1">
      <alignment horizontal="center" vertical="top" wrapText="1"/>
    </xf>
    <xf numFmtId="0" fontId="7" fillId="0" borderId="41" xfId="0" applyFont="1" applyBorder="1" applyAlignment="1">
      <alignment horizontal="center"/>
    </xf>
    <xf numFmtId="164" fontId="7" fillId="5" borderId="18" xfId="0" applyNumberFormat="1" applyFont="1" applyFill="1" applyBorder="1" applyAlignment="1">
      <alignment horizontal="center"/>
    </xf>
    <xf numFmtId="164" fontId="7" fillId="6" borderId="42" xfId="0" applyNumberFormat="1" applyFont="1" applyFill="1" applyBorder="1" applyAlignment="1">
      <alignment horizontal="center"/>
    </xf>
    <xf numFmtId="0" fontId="7" fillId="5" borderId="54" xfId="0" applyFont="1" applyFill="1" applyBorder="1" applyAlignment="1">
      <alignment horizontal="center" vertical="center"/>
    </xf>
    <xf numFmtId="0" fontId="7" fillId="2" borderId="43" xfId="0" applyFont="1" applyFill="1" applyBorder="1" applyAlignment="1">
      <alignment horizontal="center" vertical="top" wrapText="1"/>
    </xf>
    <xf numFmtId="10" fontId="7" fillId="0" borderId="44" xfId="0" applyNumberFormat="1" applyFont="1" applyBorder="1" applyAlignment="1">
      <alignment horizontal="center"/>
    </xf>
    <xf numFmtId="10" fontId="7" fillId="0" borderId="19" xfId="0" applyNumberFormat="1" applyFont="1" applyBorder="1" applyAlignment="1">
      <alignment horizontal="center"/>
    </xf>
    <xf numFmtId="0" fontId="7" fillId="0" borderId="17" xfId="0" applyNumberFormat="1" applyFont="1" applyBorder="1" applyAlignment="1">
      <alignment horizontal="center"/>
    </xf>
    <xf numFmtId="10" fontId="7" fillId="2" borderId="44" xfId="0" applyNumberFormat="1" applyFont="1" applyFill="1" applyBorder="1" applyAlignment="1">
      <alignment horizontal="center" vertical="top" wrapText="1"/>
    </xf>
    <xf numFmtId="0" fontId="9" fillId="0" borderId="37" xfId="0" applyFont="1" applyBorder="1" applyAlignment="1">
      <alignment horizontal="center" vertical="center" wrapText="1"/>
    </xf>
    <xf numFmtId="1" fontId="7" fillId="0" borderId="31" xfId="0" applyNumberFormat="1" applyFont="1" applyFill="1" applyBorder="1" applyAlignment="1">
      <alignment horizontal="center"/>
    </xf>
    <xf numFmtId="1" fontId="7" fillId="0" borderId="75" xfId="0" applyNumberFormat="1" applyFont="1" applyFill="1" applyBorder="1" applyAlignment="1">
      <alignment horizontal="center"/>
    </xf>
    <xf numFmtId="0" fontId="0" fillId="0" borderId="7" xfId="0" applyBorder="1" applyAlignment="1">
      <alignment horizontal="center"/>
    </xf>
    <xf numFmtId="0" fontId="7" fillId="0" borderId="53" xfId="0" applyFont="1" applyBorder="1" applyAlignment="1">
      <alignment horizontal="center"/>
    </xf>
    <xf numFmtId="0" fontId="7" fillId="0" borderId="48" xfId="0" applyFont="1" applyBorder="1" applyAlignment="1">
      <alignment horizontal="center"/>
    </xf>
    <xf numFmtId="0" fontId="7" fillId="0" borderId="54" xfId="0" applyFont="1" applyBorder="1" applyAlignment="1">
      <alignment horizontal="center"/>
    </xf>
    <xf numFmtId="0" fontId="7" fillId="0" borderId="37" xfId="0" applyFont="1" applyBorder="1" applyAlignment="1">
      <alignment horizontal="center" vertical="center" wrapText="1"/>
    </xf>
    <xf numFmtId="0" fontId="7" fillId="0" borderId="77" xfId="0" applyFont="1" applyBorder="1" applyAlignment="1">
      <alignment horizontal="center"/>
    </xf>
    <xf numFmtId="0" fontId="7" fillId="0" borderId="74" xfId="0" applyFont="1" applyBorder="1" applyAlignment="1">
      <alignment horizontal="center"/>
    </xf>
    <xf numFmtId="10" fontId="11" fillId="6" borderId="37" xfId="0" applyNumberFormat="1" applyFont="1" applyFill="1" applyBorder="1" applyAlignment="1">
      <alignment horizontal="center"/>
    </xf>
    <xf numFmtId="0" fontId="14" fillId="0" borderId="0" xfId="0" applyNumberFormat="1" applyFont="1"/>
    <xf numFmtId="0" fontId="15" fillId="0" borderId="0" xfId="0" applyFont="1" applyAlignment="1">
      <alignment horizontal="center"/>
    </xf>
    <xf numFmtId="0" fontId="9" fillId="0" borderId="80" xfId="0" applyFont="1" applyBorder="1" applyAlignment="1">
      <alignment horizontal="center"/>
    </xf>
    <xf numFmtId="0" fontId="7" fillId="2" borderId="31" xfId="0" applyNumberFormat="1" applyFont="1" applyFill="1" applyBorder="1" applyAlignment="1">
      <alignment horizontal="center" vertical="top" wrapText="1"/>
    </xf>
    <xf numFmtId="0" fontId="11" fillId="6" borderId="0" xfId="0" applyNumberFormat="1" applyFont="1" applyFill="1" applyBorder="1" applyAlignment="1">
      <alignment horizontal="center"/>
    </xf>
    <xf numFmtId="0" fontId="9" fillId="0" borderId="0" xfId="0" applyNumberFormat="1" applyFont="1" applyBorder="1" applyAlignment="1">
      <alignment horizontal="center"/>
    </xf>
    <xf numFmtId="0" fontId="0" fillId="0" borderId="0" xfId="0" applyNumberFormat="1" applyBorder="1"/>
    <xf numFmtId="0" fontId="13" fillId="0" borderId="53" xfId="0" applyFont="1" applyFill="1" applyBorder="1" applyAlignment="1">
      <alignment horizontal="center" vertical="center"/>
    </xf>
    <xf numFmtId="0" fontId="11" fillId="6" borderId="0" xfId="0" applyFont="1" applyFill="1" applyBorder="1" applyAlignment="1">
      <alignment horizontal="center"/>
    </xf>
    <xf numFmtId="0" fontId="7" fillId="0" borderId="0" xfId="0" applyFont="1" applyBorder="1"/>
    <xf numFmtId="0" fontId="7" fillId="0" borderId="35" xfId="0" applyFont="1" applyBorder="1"/>
    <xf numFmtId="0" fontId="7" fillId="0" borderId="10" xfId="0" applyFont="1" applyBorder="1"/>
    <xf numFmtId="0" fontId="7" fillId="0" borderId="36" xfId="0" applyFont="1" applyBorder="1"/>
    <xf numFmtId="0" fontId="7" fillId="0" borderId="43" xfId="0" applyFont="1" applyBorder="1" applyAlignment="1">
      <alignment horizontal="center" wrapText="1"/>
    </xf>
    <xf numFmtId="0" fontId="7" fillId="2" borderId="23"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42" xfId="0" applyFont="1" applyFill="1" applyBorder="1" applyAlignment="1">
      <alignment horizontal="center" vertical="top" wrapText="1"/>
    </xf>
    <xf numFmtId="0" fontId="7" fillId="6" borderId="21"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75" xfId="0" applyFont="1" applyFill="1" applyBorder="1" applyAlignment="1">
      <alignment horizontal="center" vertical="top" wrapText="1"/>
    </xf>
    <xf numFmtId="0" fontId="7" fillId="0" borderId="75" xfId="0" applyFont="1" applyBorder="1" applyAlignment="1">
      <alignment horizontal="center" vertical="center" wrapText="1"/>
    </xf>
    <xf numFmtId="0" fontId="7" fillId="0" borderId="43" xfId="0" applyFont="1" applyBorder="1" applyAlignment="1">
      <alignment horizontal="center" vertical="center" wrapText="1"/>
    </xf>
    <xf numFmtId="0" fontId="7" fillId="7" borderId="75" xfId="0" applyFont="1" applyFill="1" applyBorder="1" applyAlignment="1">
      <alignment horizontal="center" vertical="center" wrapText="1"/>
    </xf>
    <xf numFmtId="0" fontId="7" fillId="2" borderId="77" xfId="0" applyFont="1" applyFill="1" applyBorder="1" applyAlignment="1">
      <alignment horizontal="center" vertical="top" wrapText="1"/>
    </xf>
    <xf numFmtId="0" fontId="7" fillId="0" borderId="40" xfId="0" applyFont="1" applyBorder="1" applyAlignment="1">
      <alignment horizontal="center" vertical="center" wrapText="1"/>
    </xf>
    <xf numFmtId="0" fontId="7" fillId="0" borderId="18"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NumberFormat="1" applyFont="1" applyFill="1" applyBorder="1" applyAlignment="1">
      <alignment horizontal="center" vertical="center" wrapText="1"/>
    </xf>
    <xf numFmtId="0" fontId="9" fillId="0" borderId="47" xfId="0" applyNumberFormat="1" applyFont="1" applyBorder="1" applyAlignment="1">
      <alignment horizontal="center" vertical="center" wrapText="1"/>
    </xf>
    <xf numFmtId="0" fontId="7" fillId="0" borderId="48" xfId="0" applyNumberFormat="1" applyFont="1" applyBorder="1" applyAlignment="1">
      <alignment horizontal="center"/>
    </xf>
    <xf numFmtId="0" fontId="7" fillId="0" borderId="74" xfId="0" applyNumberFormat="1" applyFont="1" applyBorder="1" applyAlignment="1">
      <alignment horizontal="center"/>
    </xf>
    <xf numFmtId="0" fontId="14" fillId="0" borderId="0" xfId="1" applyFont="1"/>
    <xf numFmtId="0" fontId="10" fillId="0" borderId="0" xfId="1"/>
    <xf numFmtId="0" fontId="15" fillId="0" borderId="0" xfId="1" applyFont="1"/>
    <xf numFmtId="0" fontId="18" fillId="0" borderId="0" xfId="1" applyFont="1"/>
    <xf numFmtId="0" fontId="18" fillId="0" borderId="69" xfId="1" applyFont="1" applyBorder="1"/>
    <xf numFmtId="0" fontId="10" fillId="0" borderId="66" xfId="1" applyBorder="1"/>
    <xf numFmtId="0" fontId="10" fillId="0" borderId="69" xfId="1" applyBorder="1"/>
    <xf numFmtId="0" fontId="14" fillId="0" borderId="49" xfId="1" applyFont="1" applyBorder="1" applyAlignment="1">
      <alignment horizontal="center" vertical="center"/>
    </xf>
    <xf numFmtId="10" fontId="14" fillId="0" borderId="92" xfId="1" applyNumberFormat="1" applyFont="1" applyBorder="1"/>
    <xf numFmtId="0" fontId="10" fillId="0" borderId="92" xfId="1" applyBorder="1"/>
    <xf numFmtId="0" fontId="14" fillId="0" borderId="93" xfId="1" applyFont="1" applyBorder="1" applyAlignment="1">
      <alignment horizontal="center" vertical="center"/>
    </xf>
    <xf numFmtId="10" fontId="14" fillId="0" borderId="81" xfId="1" applyNumberFormat="1" applyFont="1" applyBorder="1"/>
    <xf numFmtId="0" fontId="14" fillId="0" borderId="6" xfId="1" applyFont="1" applyBorder="1" applyAlignment="1">
      <alignment horizontal="center" vertical="center"/>
    </xf>
    <xf numFmtId="0" fontId="14" fillId="0" borderId="7" xfId="1" applyFont="1" applyBorder="1" applyAlignment="1">
      <alignment horizontal="center" vertical="center"/>
    </xf>
    <xf numFmtId="10" fontId="14" fillId="0" borderId="0" xfId="1" applyNumberFormat="1" applyFont="1"/>
    <xf numFmtId="10" fontId="14" fillId="0" borderId="37" xfId="1" applyNumberFormat="1" applyFont="1" applyBorder="1"/>
    <xf numFmtId="0" fontId="14" fillId="0" borderId="6" xfId="1" applyFont="1" applyBorder="1" applyAlignment="1">
      <alignment horizontal="center"/>
    </xf>
    <xf numFmtId="0" fontId="14" fillId="0" borderId="7" xfId="1" applyFont="1" applyBorder="1" applyAlignment="1">
      <alignment horizontal="center"/>
    </xf>
    <xf numFmtId="164" fontId="25" fillId="0" borderId="92" xfId="1" applyNumberFormat="1" applyFont="1" applyBorder="1"/>
    <xf numFmtId="0" fontId="14" fillId="0" borderId="93" xfId="1" applyFont="1" applyBorder="1" applyAlignment="1">
      <alignment horizontal="center"/>
    </xf>
    <xf numFmtId="164" fontId="25" fillId="0" borderId="81" xfId="1" applyNumberFormat="1" applyFont="1" applyBorder="1"/>
    <xf numFmtId="0" fontId="14" fillId="0" borderId="49" xfId="1" applyFont="1" applyBorder="1"/>
    <xf numFmtId="1" fontId="14" fillId="0" borderId="92" xfId="1" applyNumberFormat="1" applyFont="1" applyBorder="1"/>
    <xf numFmtId="0" fontId="14" fillId="0" borderId="93" xfId="1" applyFont="1" applyBorder="1"/>
    <xf numFmtId="1" fontId="14" fillId="0" borderId="81" xfId="1" applyNumberFormat="1" applyFont="1" applyBorder="1"/>
    <xf numFmtId="15" fontId="11" fillId="0" borderId="0" xfId="1" applyNumberFormat="1" applyFont="1" applyAlignment="1">
      <alignment horizontal="left" vertical="top"/>
    </xf>
    <xf numFmtId="10" fontId="6" fillId="6" borderId="40" xfId="0" applyNumberFormat="1" applyFont="1" applyFill="1" applyBorder="1" applyAlignment="1">
      <alignment horizontal="center" vertical="center" wrapText="1"/>
    </xf>
    <xf numFmtId="10" fontId="6" fillId="6" borderId="47" xfId="0" applyNumberFormat="1" applyFont="1" applyFill="1" applyBorder="1" applyAlignment="1">
      <alignment horizontal="center" vertical="center" wrapText="1"/>
    </xf>
    <xf numFmtId="10" fontId="6" fillId="7" borderId="26" xfId="0" applyNumberFormat="1" applyFont="1" applyFill="1" applyBorder="1" applyAlignment="1">
      <alignment horizontal="center" vertical="center" wrapText="1"/>
    </xf>
    <xf numFmtId="0" fontId="7" fillId="5" borderId="15" xfId="1" applyFont="1" applyFill="1" applyBorder="1" applyAlignment="1">
      <alignment horizontal="left" vertical="top" wrapText="1"/>
    </xf>
    <xf numFmtId="0" fontId="7" fillId="6" borderId="5" xfId="1" applyFont="1" applyFill="1" applyBorder="1" applyAlignment="1">
      <alignment horizontal="left" vertical="top" wrapText="1"/>
    </xf>
    <xf numFmtId="0" fontId="0" fillId="10" borderId="0" xfId="0" applyFill="1"/>
    <xf numFmtId="164" fontId="7" fillId="0" borderId="24" xfId="0" applyNumberFormat="1" applyFont="1" applyBorder="1" applyAlignment="1">
      <alignment horizontal="center"/>
    </xf>
    <xf numFmtId="164" fontId="7" fillId="0" borderId="76" xfId="0" applyNumberFormat="1" applyFont="1" applyBorder="1" applyAlignment="1">
      <alignment horizontal="center"/>
    </xf>
    <xf numFmtId="10" fontId="7" fillId="0" borderId="41" xfId="0" applyNumberFormat="1" applyFont="1" applyBorder="1" applyAlignment="1">
      <alignment horizontal="center"/>
    </xf>
    <xf numFmtId="10" fontId="7" fillId="0" borderId="46" xfId="0" applyNumberFormat="1" applyFont="1" applyBorder="1" applyAlignment="1">
      <alignment horizontal="center"/>
    </xf>
    <xf numFmtId="10" fontId="7" fillId="0" borderId="43" xfId="0" applyNumberFormat="1" applyFont="1" applyBorder="1" applyAlignment="1">
      <alignment horizontal="center"/>
    </xf>
    <xf numFmtId="10" fontId="7" fillId="0" borderId="35" xfId="0" applyNumberFormat="1" applyFont="1" applyBorder="1"/>
    <xf numFmtId="10" fontId="6" fillId="7" borderId="29" xfId="0" applyNumberFormat="1" applyFont="1" applyFill="1" applyBorder="1" applyAlignment="1">
      <alignment horizontal="center" vertical="center" wrapText="1"/>
    </xf>
    <xf numFmtId="164" fontId="7" fillId="0" borderId="51" xfId="0" applyNumberFormat="1" applyFont="1" applyBorder="1" applyAlignment="1">
      <alignment horizontal="center"/>
    </xf>
    <xf numFmtId="164" fontId="7" fillId="0" borderId="79" xfId="0" applyNumberFormat="1" applyFont="1" applyBorder="1" applyAlignment="1">
      <alignment horizontal="center"/>
    </xf>
    <xf numFmtId="164" fontId="7" fillId="0" borderId="50" xfId="0" applyNumberFormat="1" applyFont="1" applyBorder="1" applyAlignment="1">
      <alignment horizontal="center"/>
    </xf>
    <xf numFmtId="164" fontId="7" fillId="0" borderId="93" xfId="0" applyNumberFormat="1" applyFont="1" applyBorder="1" applyAlignment="1">
      <alignment horizontal="center"/>
    </xf>
    <xf numFmtId="164" fontId="7" fillId="10" borderId="24" xfId="0" applyNumberFormat="1" applyFont="1" applyFill="1" applyBorder="1" applyAlignment="1">
      <alignment horizontal="center"/>
    </xf>
    <xf numFmtId="164" fontId="14" fillId="0" borderId="92" xfId="1" applyNumberFormat="1" applyFont="1" applyBorder="1"/>
    <xf numFmtId="164" fontId="14" fillId="0" borderId="0" xfId="1" applyNumberFormat="1" applyFont="1" applyBorder="1"/>
    <xf numFmtId="164" fontId="14" fillId="0" borderId="81" xfId="1" applyNumberFormat="1" applyFont="1" applyBorder="1"/>
    <xf numFmtId="164" fontId="25" fillId="0" borderId="0" xfId="1" applyNumberFormat="1" applyFont="1" applyBorder="1"/>
    <xf numFmtId="164" fontId="7" fillId="6" borderId="24" xfId="0" applyNumberFormat="1" applyFont="1" applyFill="1" applyBorder="1" applyAlignment="1">
      <alignment horizontal="center"/>
    </xf>
    <xf numFmtId="164" fontId="7" fillId="6" borderId="11" xfId="0" applyNumberFormat="1" applyFont="1" applyFill="1" applyBorder="1" applyAlignment="1">
      <alignment horizontal="center"/>
    </xf>
    <xf numFmtId="164" fontId="7" fillId="6" borderId="76" xfId="0" applyNumberFormat="1" applyFont="1" applyFill="1" applyBorder="1" applyAlignment="1">
      <alignment horizontal="center"/>
    </xf>
    <xf numFmtId="164" fontId="7" fillId="6" borderId="93" xfId="0" applyNumberFormat="1" applyFont="1" applyFill="1" applyBorder="1" applyAlignment="1">
      <alignment horizontal="center"/>
    </xf>
    <xf numFmtId="164" fontId="7" fillId="10" borderId="79" xfId="0" applyNumberFormat="1" applyFont="1" applyFill="1" applyBorder="1" applyAlignment="1">
      <alignment horizontal="center"/>
    </xf>
    <xf numFmtId="49" fontId="26" fillId="11" borderId="94" xfId="2" applyNumberFormat="1" applyAlignment="1">
      <alignment wrapText="1"/>
    </xf>
    <xf numFmtId="49" fontId="26" fillId="11" borderId="95" xfId="2" applyNumberFormat="1" applyBorder="1" applyAlignment="1">
      <alignment wrapText="1"/>
    </xf>
    <xf numFmtId="0" fontId="2" fillId="0" borderId="0" xfId="3"/>
    <xf numFmtId="10" fontId="7" fillId="7" borderId="29" xfId="0" applyNumberFormat="1" applyFont="1" applyFill="1" applyBorder="1" applyAlignment="1">
      <alignment horizontal="center" vertical="center" wrapText="1"/>
    </xf>
    <xf numFmtId="10" fontId="4" fillId="0" borderId="47" xfId="0" applyNumberFormat="1" applyFont="1" applyBorder="1" applyAlignment="1">
      <alignment horizontal="center"/>
    </xf>
    <xf numFmtId="10" fontId="6" fillId="0" borderId="47" xfId="0" applyNumberFormat="1" applyFont="1" applyBorder="1" applyAlignment="1">
      <alignment horizontal="center" vertical="center" wrapText="1"/>
    </xf>
    <xf numFmtId="10" fontId="7" fillId="6" borderId="48" xfId="0" applyNumberFormat="1" applyFont="1" applyFill="1" applyBorder="1" applyAlignment="1">
      <alignment horizontal="center"/>
    </xf>
    <xf numFmtId="164" fontId="7" fillId="5" borderId="24" xfId="0" applyNumberFormat="1" applyFont="1" applyFill="1" applyBorder="1" applyAlignment="1">
      <alignment horizontal="center"/>
    </xf>
    <xf numFmtId="164" fontId="7" fillId="5" borderId="48" xfId="0" applyNumberFormat="1" applyFont="1" applyFill="1" applyBorder="1" applyAlignment="1">
      <alignment horizontal="center"/>
    </xf>
    <xf numFmtId="164" fontId="7" fillId="5" borderId="74" xfId="0" applyNumberFormat="1" applyFont="1" applyFill="1" applyBorder="1" applyAlignment="1">
      <alignment horizontal="center"/>
    </xf>
    <xf numFmtId="0" fontId="6" fillId="6" borderId="17"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164" fontId="6" fillId="0" borderId="22" xfId="0" applyNumberFormat="1" applyFont="1" applyBorder="1" applyAlignment="1">
      <alignment horizontal="center"/>
    </xf>
    <xf numFmtId="0" fontId="7" fillId="2" borderId="0" xfId="0" applyFont="1" applyFill="1" applyBorder="1" applyAlignment="1">
      <alignment horizontal="left" vertical="top" wrapText="1"/>
    </xf>
    <xf numFmtId="164" fontId="7" fillId="5" borderId="0" xfId="0" applyNumberFormat="1" applyFont="1" applyFill="1" applyBorder="1" applyAlignment="1">
      <alignment horizontal="center"/>
    </xf>
    <xf numFmtId="0" fontId="7" fillId="10" borderId="2" xfId="0" applyFont="1" applyFill="1" applyBorder="1" applyAlignment="1">
      <alignment horizontal="left" vertical="top" wrapText="1"/>
    </xf>
    <xf numFmtId="0" fontId="0" fillId="10" borderId="0" xfId="0" applyNumberFormat="1" applyFill="1"/>
    <xf numFmtId="164" fontId="6" fillId="6" borderId="41" xfId="0" applyNumberFormat="1" applyFont="1" applyFill="1" applyBorder="1" applyAlignment="1">
      <alignment horizontal="center"/>
    </xf>
    <xf numFmtId="164" fontId="6" fillId="0" borderId="24" xfId="0" applyNumberFormat="1" applyFont="1" applyBorder="1" applyAlignment="1">
      <alignment horizontal="center"/>
    </xf>
    <xf numFmtId="164" fontId="6" fillId="6" borderId="24" xfId="0" applyNumberFormat="1" applyFont="1" applyFill="1" applyBorder="1" applyAlignment="1">
      <alignment horizontal="center"/>
    </xf>
    <xf numFmtId="164" fontId="6" fillId="6" borderId="31" xfId="0" applyNumberFormat="1" applyFont="1" applyFill="1" applyBorder="1" applyAlignment="1">
      <alignment horizontal="center"/>
    </xf>
    <xf numFmtId="164" fontId="7" fillId="0" borderId="48" xfId="0" applyNumberFormat="1" applyFont="1" applyBorder="1" applyAlignment="1">
      <alignment horizontal="center"/>
    </xf>
    <xf numFmtId="164" fontId="7" fillId="5" borderId="96" xfId="0" applyNumberFormat="1" applyFont="1" applyFill="1" applyBorder="1" applyAlignment="1">
      <alignment horizontal="center"/>
    </xf>
    <xf numFmtId="164" fontId="7" fillId="5" borderId="53" xfId="0" applyNumberFormat="1" applyFont="1" applyFill="1" applyBorder="1" applyAlignment="1">
      <alignment horizontal="center"/>
    </xf>
    <xf numFmtId="164" fontId="7" fillId="5" borderId="54" xfId="0" applyNumberFormat="1" applyFont="1" applyFill="1" applyBorder="1" applyAlignment="1">
      <alignment horizontal="center"/>
    </xf>
    <xf numFmtId="164" fontId="6" fillId="0" borderId="97" xfId="0" applyNumberFormat="1" applyFont="1" applyBorder="1" applyAlignment="1">
      <alignment horizontal="center"/>
    </xf>
    <xf numFmtId="164" fontId="7" fillId="6" borderId="48" xfId="0" applyNumberFormat="1" applyFont="1" applyFill="1" applyBorder="1" applyAlignment="1">
      <alignment horizontal="center"/>
    </xf>
    <xf numFmtId="164" fontId="7" fillId="6" borderId="31" xfId="0" applyNumberFormat="1" applyFont="1" applyFill="1" applyBorder="1" applyAlignment="1">
      <alignment horizontal="center"/>
    </xf>
    <xf numFmtId="164" fontId="7" fillId="5" borderId="42" xfId="0" applyNumberFormat="1" applyFont="1" applyFill="1" applyBorder="1" applyAlignment="1">
      <alignment horizontal="center"/>
    </xf>
    <xf numFmtId="164" fontId="7" fillId="5" borderId="75" xfId="0" applyNumberFormat="1" applyFont="1" applyFill="1" applyBorder="1" applyAlignment="1">
      <alignment horizontal="center"/>
    </xf>
    <xf numFmtId="164" fontId="7" fillId="0" borderId="16" xfId="0" applyNumberFormat="1" applyFont="1" applyBorder="1" applyAlignment="1">
      <alignment horizontal="center"/>
    </xf>
    <xf numFmtId="164" fontId="6" fillId="0" borderId="51" xfId="0" applyNumberFormat="1" applyFont="1" applyBorder="1" applyAlignment="1">
      <alignment horizontal="center"/>
    </xf>
    <xf numFmtId="0" fontId="7" fillId="0" borderId="79" xfId="0" applyFont="1" applyBorder="1" applyAlignment="1">
      <alignment horizontal="center" vertical="center"/>
    </xf>
    <xf numFmtId="164" fontId="6" fillId="6" borderId="76" xfId="0" applyNumberFormat="1" applyFont="1" applyFill="1" applyBorder="1" applyAlignment="1">
      <alignment horizontal="center"/>
    </xf>
    <xf numFmtId="164" fontId="7" fillId="5" borderId="52" xfId="0" applyNumberFormat="1" applyFont="1" applyFill="1" applyBorder="1" applyAlignment="1">
      <alignment horizontal="center"/>
    </xf>
    <xf numFmtId="164" fontId="6" fillId="5" borderId="42" xfId="0" applyNumberFormat="1" applyFont="1" applyFill="1" applyBorder="1" applyAlignment="1">
      <alignment horizontal="center"/>
    </xf>
    <xf numFmtId="164" fontId="7" fillId="0" borderId="45" xfId="0" applyNumberFormat="1" applyFont="1" applyBorder="1" applyAlignment="1">
      <alignment horizontal="center"/>
    </xf>
    <xf numFmtId="164" fontId="6" fillId="5" borderId="50" xfId="0" applyNumberFormat="1" applyFont="1" applyFill="1" applyBorder="1" applyAlignment="1">
      <alignment horizontal="center"/>
    </xf>
    <xf numFmtId="0" fontId="4" fillId="0" borderId="39" xfId="0" applyFont="1" applyBorder="1" applyAlignment="1">
      <alignment horizontal="center" vertical="center" wrapText="1"/>
    </xf>
    <xf numFmtId="164" fontId="7" fillId="0" borderId="52" xfId="0" applyNumberFormat="1" applyFont="1" applyBorder="1" applyAlignment="1">
      <alignment horizontal="center"/>
    </xf>
    <xf numFmtId="164" fontId="7" fillId="0" borderId="74" xfId="0" applyNumberFormat="1" applyFont="1" applyBorder="1" applyAlignment="1">
      <alignment horizontal="center"/>
    </xf>
    <xf numFmtId="1" fontId="7" fillId="0" borderId="48" xfId="0" applyNumberFormat="1" applyFont="1" applyFill="1" applyBorder="1" applyAlignment="1">
      <alignment horizontal="center"/>
    </xf>
    <xf numFmtId="1" fontId="7" fillId="0" borderId="74" xfId="0" applyNumberFormat="1" applyFont="1" applyFill="1" applyBorder="1" applyAlignment="1">
      <alignment horizontal="center"/>
    </xf>
    <xf numFmtId="164" fontId="6" fillId="6" borderId="78" xfId="0" applyNumberFormat="1" applyFont="1" applyFill="1" applyBorder="1" applyAlignment="1">
      <alignment horizontal="center"/>
    </xf>
    <xf numFmtId="164" fontId="6" fillId="0" borderId="31" xfId="0" applyNumberFormat="1" applyFont="1" applyBorder="1" applyAlignment="1">
      <alignment horizontal="center"/>
    </xf>
    <xf numFmtId="164" fontId="6" fillId="6" borderId="81" xfId="0" applyNumberFormat="1" applyFont="1" applyFill="1" applyBorder="1" applyAlignment="1">
      <alignment horizontal="center"/>
    </xf>
    <xf numFmtId="164" fontId="6" fillId="6" borderId="31" xfId="1" applyNumberFormat="1" applyFont="1" applyFill="1" applyBorder="1" applyAlignment="1">
      <alignment horizontal="center"/>
    </xf>
    <xf numFmtId="164" fontId="6" fillId="6" borderId="81" xfId="1" applyNumberFormat="1" applyFont="1" applyFill="1" applyBorder="1" applyAlignment="1">
      <alignment horizontal="center"/>
    </xf>
    <xf numFmtId="164" fontId="7" fillId="5" borderId="79" xfId="0" applyNumberFormat="1" applyFont="1" applyFill="1" applyBorder="1" applyAlignment="1">
      <alignment horizontal="center"/>
    </xf>
    <xf numFmtId="164" fontId="7" fillId="6" borderId="55" xfId="0" applyNumberFormat="1" applyFont="1" applyFill="1" applyBorder="1" applyAlignment="1">
      <alignment horizontal="center"/>
    </xf>
    <xf numFmtId="0" fontId="7" fillId="2" borderId="41" xfId="0" applyNumberFormat="1" applyFont="1" applyFill="1" applyBorder="1" applyAlignment="1">
      <alignment horizontal="center" vertical="top" wrapText="1"/>
    </xf>
    <xf numFmtId="0" fontId="7" fillId="2" borderId="78" xfId="0" applyNumberFormat="1" applyFont="1" applyFill="1" applyBorder="1" applyAlignment="1">
      <alignment horizontal="center" vertical="top" wrapText="1"/>
    </xf>
    <xf numFmtId="0" fontId="7" fillId="2" borderId="79" xfId="0" applyNumberFormat="1" applyFont="1" applyFill="1" applyBorder="1" applyAlignment="1">
      <alignment horizontal="center" vertical="top" wrapText="1"/>
    </xf>
    <xf numFmtId="0" fontId="7" fillId="2" borderId="50" xfId="0" applyNumberFormat="1" applyFont="1" applyFill="1" applyBorder="1" applyAlignment="1">
      <alignment horizontal="center" vertical="top" wrapText="1"/>
    </xf>
    <xf numFmtId="0" fontId="7" fillId="2" borderId="52" xfId="0" applyNumberFormat="1" applyFont="1" applyFill="1" applyBorder="1" applyAlignment="1">
      <alignment horizontal="center" vertical="top" wrapText="1"/>
    </xf>
    <xf numFmtId="0" fontId="0" fillId="0" borderId="0" xfId="0" applyAlignment="1">
      <alignment horizontal="center"/>
    </xf>
    <xf numFmtId="0" fontId="4" fillId="3" borderId="2" xfId="0" applyFont="1" applyFill="1" applyBorder="1" applyAlignment="1">
      <alignment horizontal="left" vertical="top" wrapText="1"/>
    </xf>
    <xf numFmtId="10" fontId="10" fillId="0" borderId="5" xfId="0" applyNumberFormat="1" applyFont="1" applyBorder="1" applyAlignment="1">
      <alignment horizontal="center" vertical="center"/>
    </xf>
    <xf numFmtId="10" fontId="10" fillId="6" borderId="5" xfId="0" applyNumberFormat="1" applyFont="1" applyFill="1" applyBorder="1" applyAlignment="1">
      <alignment horizontal="center" vertical="center"/>
    </xf>
    <xf numFmtId="10" fontId="0" fillId="0" borderId="5" xfId="0" applyNumberFormat="1" applyBorder="1" applyAlignment="1">
      <alignment horizontal="center" vertical="center"/>
    </xf>
    <xf numFmtId="164" fontId="10" fillId="0" borderId="25" xfId="0" applyNumberFormat="1" applyFont="1" applyBorder="1"/>
    <xf numFmtId="164" fontId="10" fillId="0" borderId="26" xfId="0" applyNumberFormat="1" applyFont="1" applyBorder="1"/>
    <xf numFmtId="164" fontId="10" fillId="0" borderId="28" xfId="0" applyNumberFormat="1" applyFont="1" applyBorder="1"/>
    <xf numFmtId="164" fontId="0" fillId="0" borderId="0" xfId="0" applyNumberFormat="1" applyFill="1" applyBorder="1"/>
    <xf numFmtId="164" fontId="0" fillId="10" borderId="0" xfId="0" applyNumberFormat="1" applyFill="1"/>
    <xf numFmtId="164" fontId="7" fillId="5" borderId="31" xfId="0" applyNumberFormat="1" applyFont="1" applyFill="1" applyBorder="1" applyAlignment="1">
      <alignment horizontal="center"/>
    </xf>
    <xf numFmtId="0" fontId="4" fillId="0" borderId="19" xfId="0" applyFont="1" applyBorder="1" applyAlignment="1">
      <alignment horizontal="center" vertical="center" wrapText="1"/>
    </xf>
    <xf numFmtId="0" fontId="11" fillId="8" borderId="37" xfId="0" applyFont="1" applyFill="1" applyBorder="1" applyAlignment="1"/>
    <xf numFmtId="0" fontId="11" fillId="0" borderId="37" xfId="0" applyFont="1" applyBorder="1" applyAlignment="1"/>
    <xf numFmtId="0" fontId="0" fillId="0" borderId="7" xfId="0" applyNumberFormat="1" applyBorder="1"/>
    <xf numFmtId="0" fontId="7" fillId="0" borderId="23" xfId="0" applyNumberFormat="1" applyFont="1" applyBorder="1" applyAlignment="1">
      <alignment horizontal="center"/>
    </xf>
    <xf numFmtId="0" fontId="7" fillId="0" borderId="16" xfId="0" applyNumberFormat="1" applyFont="1" applyBorder="1" applyAlignment="1">
      <alignment horizontal="center"/>
    </xf>
    <xf numFmtId="0" fontId="7" fillId="0" borderId="19" xfId="0" applyNumberFormat="1" applyFont="1" applyBorder="1" applyAlignment="1">
      <alignment horizontal="center"/>
    </xf>
    <xf numFmtId="10" fontId="6" fillId="0" borderId="18" xfId="0" applyNumberFormat="1" applyFont="1" applyBorder="1" applyAlignment="1">
      <alignment horizontal="center" wrapText="1"/>
    </xf>
    <xf numFmtId="0" fontId="6" fillId="0" borderId="18" xfId="0" applyFont="1" applyBorder="1" applyAlignment="1">
      <alignment horizontal="center" wrapText="1"/>
    </xf>
    <xf numFmtId="0" fontId="6" fillId="7" borderId="19" xfId="0" applyFont="1" applyFill="1" applyBorder="1" applyAlignment="1">
      <alignment horizontal="center" vertical="center" wrapText="1"/>
    </xf>
    <xf numFmtId="10" fontId="6" fillId="0" borderId="44" xfId="0" applyNumberFormat="1" applyFont="1" applyBorder="1" applyAlignment="1">
      <alignment horizontal="center" vertical="center" wrapText="1"/>
    </xf>
    <xf numFmtId="10" fontId="6" fillId="0" borderId="18" xfId="0" applyNumberFormat="1" applyFont="1" applyBorder="1" applyAlignment="1">
      <alignment horizontal="center" vertical="center" wrapText="1"/>
    </xf>
    <xf numFmtId="10" fontId="6" fillId="7" borderId="18" xfId="0" applyNumberFormat="1" applyFont="1" applyFill="1" applyBorder="1" applyAlignment="1">
      <alignment horizontal="center" vertical="center" wrapText="1"/>
    </xf>
    <xf numFmtId="10" fontId="6" fillId="0" borderId="19" xfId="0" applyNumberFormat="1" applyFont="1" applyFill="1" applyBorder="1" applyAlignment="1">
      <alignment horizontal="center" vertical="center" wrapText="1"/>
    </xf>
    <xf numFmtId="10" fontId="6" fillId="7" borderId="17" xfId="0" applyNumberFormat="1" applyFont="1" applyFill="1" applyBorder="1" applyAlignment="1">
      <alignment horizontal="center" vertical="center" wrapText="1"/>
    </xf>
    <xf numFmtId="0" fontId="6" fillId="6" borderId="18" xfId="0" applyFont="1" applyFill="1" applyBorder="1" applyAlignment="1">
      <alignment horizontal="center" vertical="center" wrapText="1"/>
    </xf>
    <xf numFmtId="2" fontId="6" fillId="7" borderId="25" xfId="0" applyNumberFormat="1" applyFont="1" applyFill="1" applyBorder="1" applyAlignment="1">
      <alignment horizontal="center" vertical="center" wrapText="1"/>
    </xf>
    <xf numFmtId="2" fontId="6" fillId="7" borderId="28" xfId="0" applyNumberFormat="1" applyFont="1" applyFill="1" applyBorder="1" applyAlignment="1">
      <alignment horizontal="center" vertical="center" wrapText="1"/>
    </xf>
    <xf numFmtId="0" fontId="4"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9" xfId="0" applyFont="1" applyBorder="1" applyAlignment="1">
      <alignment horizontal="center" vertical="center" wrapText="1"/>
    </xf>
    <xf numFmtId="0" fontId="7" fillId="6" borderId="23" xfId="0" applyNumberFormat="1" applyFont="1" applyFill="1" applyBorder="1" applyAlignment="1">
      <alignment horizontal="center"/>
    </xf>
    <xf numFmtId="0" fontId="7" fillId="6" borderId="16" xfId="0" applyNumberFormat="1" applyFont="1" applyFill="1" applyBorder="1" applyAlignment="1">
      <alignment horizontal="center"/>
    </xf>
    <xf numFmtId="0" fontId="7" fillId="6" borderId="16" xfId="1" applyNumberFormat="1" applyFont="1" applyFill="1" applyBorder="1" applyAlignment="1">
      <alignment horizontal="center"/>
    </xf>
    <xf numFmtId="0" fontId="7" fillId="6" borderId="19" xfId="0" applyNumberFormat="1" applyFont="1" applyFill="1" applyBorder="1" applyAlignment="1">
      <alignment horizontal="center"/>
    </xf>
    <xf numFmtId="0" fontId="7" fillId="12" borderId="16" xfId="1" applyNumberFormat="1" applyFont="1" applyFill="1" applyBorder="1" applyAlignment="1">
      <alignment horizontal="center"/>
    </xf>
    <xf numFmtId="10" fontId="7" fillId="9" borderId="11" xfId="1" applyNumberFormat="1" applyFont="1" applyFill="1" applyBorder="1" applyAlignment="1">
      <alignment horizontal="center"/>
    </xf>
    <xf numFmtId="1" fontId="7" fillId="9" borderId="5" xfId="1" applyNumberFormat="1" applyFont="1" applyFill="1" applyBorder="1" applyAlignment="1">
      <alignment horizontal="center"/>
    </xf>
    <xf numFmtId="10" fontId="7" fillId="9" borderId="5" xfId="1" applyNumberFormat="1" applyFont="1" applyFill="1" applyBorder="1" applyAlignment="1">
      <alignment horizontal="center"/>
    </xf>
    <xf numFmtId="10" fontId="7" fillId="9" borderId="21" xfId="0" applyNumberFormat="1" applyFont="1" applyFill="1" applyBorder="1" applyAlignment="1">
      <alignment horizontal="center" vertical="top" wrapText="1"/>
    </xf>
    <xf numFmtId="10" fontId="7" fillId="9" borderId="41" xfId="0" applyNumberFormat="1" applyFont="1" applyFill="1" applyBorder="1" applyAlignment="1">
      <alignment horizontal="center" vertical="top" wrapText="1"/>
    </xf>
    <xf numFmtId="1" fontId="7" fillId="0" borderId="52" xfId="0" applyNumberFormat="1" applyFont="1" applyFill="1" applyBorder="1" applyAlignment="1">
      <alignment horizontal="center"/>
    </xf>
    <xf numFmtId="164" fontId="7" fillId="6" borderId="18" xfId="0" applyNumberFormat="1" applyFont="1" applyFill="1" applyBorder="1" applyAlignment="1">
      <alignment horizontal="center"/>
    </xf>
    <xf numFmtId="164" fontId="7" fillId="12" borderId="5" xfId="0" applyNumberFormat="1" applyFont="1" applyFill="1" applyBorder="1" applyAlignment="1">
      <alignment horizontal="center"/>
    </xf>
    <xf numFmtId="164" fontId="7" fillId="12" borderId="22" xfId="0" applyNumberFormat="1" applyFont="1" applyFill="1" applyBorder="1" applyAlignment="1">
      <alignment horizontal="center"/>
    </xf>
    <xf numFmtId="164" fontId="7" fillId="12" borderId="51" xfId="0" applyNumberFormat="1" applyFont="1" applyFill="1" applyBorder="1" applyAlignment="1">
      <alignment horizontal="center"/>
    </xf>
    <xf numFmtId="164" fontId="7" fillId="12" borderId="18" xfId="0" applyNumberFormat="1" applyFont="1" applyFill="1" applyBorder="1" applyAlignment="1">
      <alignment horizontal="center"/>
    </xf>
    <xf numFmtId="164" fontId="7" fillId="5" borderId="11" xfId="0" applyNumberFormat="1" applyFont="1" applyFill="1" applyBorder="1" applyAlignment="1">
      <alignment horizontal="center"/>
    </xf>
    <xf numFmtId="164" fontId="7" fillId="6" borderId="23" xfId="0" applyNumberFormat="1" applyFont="1" applyFill="1" applyBorder="1" applyAlignment="1">
      <alignment horizontal="center"/>
    </xf>
    <xf numFmtId="164" fontId="7" fillId="6" borderId="16" xfId="0" applyNumberFormat="1" applyFont="1" applyFill="1" applyBorder="1" applyAlignment="1">
      <alignment horizontal="center"/>
    </xf>
    <xf numFmtId="164" fontId="7" fillId="12" borderId="15" xfId="0" applyNumberFormat="1" applyFont="1" applyFill="1" applyBorder="1" applyAlignment="1">
      <alignment horizontal="center"/>
    </xf>
    <xf numFmtId="164" fontId="7" fillId="12" borderId="16" xfId="0" applyNumberFormat="1" applyFont="1" applyFill="1" applyBorder="1" applyAlignment="1">
      <alignment horizontal="center"/>
    </xf>
    <xf numFmtId="164" fontId="7" fillId="12" borderId="19" xfId="0" applyNumberFormat="1" applyFont="1" applyFill="1" applyBorder="1" applyAlignment="1">
      <alignment horizontal="center"/>
    </xf>
    <xf numFmtId="10" fontId="7" fillId="6" borderId="74" xfId="0" applyNumberFormat="1" applyFont="1" applyFill="1" applyBorder="1" applyAlignment="1">
      <alignment horizontal="center"/>
    </xf>
    <xf numFmtId="0" fontId="10" fillId="0" borderId="0" xfId="1" applyBorder="1"/>
    <xf numFmtId="0" fontId="14" fillId="0" borderId="56" xfId="1" applyFont="1" applyBorder="1"/>
    <xf numFmtId="0" fontId="14" fillId="0" borderId="81" xfId="1" applyFont="1" applyBorder="1"/>
    <xf numFmtId="10" fontId="14" fillId="0" borderId="80" xfId="1" applyNumberFormat="1" applyFont="1" applyBorder="1"/>
    <xf numFmtId="10" fontId="14" fillId="0" borderId="56" xfId="1" applyNumberFormat="1" applyFont="1" applyBorder="1"/>
    <xf numFmtId="10" fontId="14" fillId="0" borderId="40" xfId="1" applyNumberFormat="1" applyFont="1" applyBorder="1"/>
    <xf numFmtId="164" fontId="25" fillId="0" borderId="80" xfId="1" applyNumberFormat="1" applyFont="1" applyBorder="1"/>
    <xf numFmtId="164" fontId="25" fillId="0" borderId="6" xfId="1" applyNumberFormat="1" applyFont="1" applyBorder="1"/>
    <xf numFmtId="164" fontId="25" fillId="0" borderId="56" xfId="1" applyNumberFormat="1" applyFont="1" applyBorder="1"/>
    <xf numFmtId="0" fontId="10" fillId="0" borderId="81" xfId="1" applyBorder="1"/>
    <xf numFmtId="1" fontId="14" fillId="0" borderId="80" xfId="1" applyNumberFormat="1" applyFont="1" applyBorder="1"/>
    <xf numFmtId="1" fontId="14" fillId="0" borderId="56" xfId="1" applyNumberFormat="1" applyFont="1" applyBorder="1"/>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10" fontId="6" fillId="0" borderId="17" xfId="0" applyNumberFormat="1" applyFont="1" applyBorder="1" applyAlignment="1">
      <alignment horizontal="center" vertical="center" wrapText="1"/>
    </xf>
    <xf numFmtId="10" fontId="6" fillId="0" borderId="43" xfId="0" applyNumberFormat="1" applyFont="1" applyFill="1" applyBorder="1" applyAlignment="1">
      <alignment horizontal="center" vertical="center" wrapText="1"/>
    </xf>
    <xf numFmtId="10" fontId="6" fillId="6" borderId="18" xfId="0" applyNumberFormat="1" applyFont="1" applyFill="1" applyBorder="1" applyAlignment="1">
      <alignment horizontal="center" vertical="center" wrapText="1"/>
    </xf>
    <xf numFmtId="0" fontId="6" fillId="6" borderId="54" xfId="0" applyFont="1" applyFill="1" applyBorder="1" applyAlignment="1">
      <alignment horizontal="center" vertical="center" wrapText="1"/>
    </xf>
    <xf numFmtId="2" fontId="6" fillId="6" borderId="25" xfId="0" applyNumberFormat="1" applyFont="1" applyFill="1" applyBorder="1" applyAlignment="1">
      <alignment horizontal="center" vertical="center" wrapText="1"/>
    </xf>
    <xf numFmtId="10" fontId="6" fillId="6" borderId="26" xfId="0" applyNumberFormat="1" applyFont="1" applyFill="1" applyBorder="1" applyAlignment="1">
      <alignment horizontal="center" vertical="center" wrapText="1"/>
    </xf>
    <xf numFmtId="2" fontId="6" fillId="6" borderId="26" xfId="0" applyNumberFormat="1" applyFont="1" applyFill="1" applyBorder="1" applyAlignment="1">
      <alignment horizontal="center" vertical="center" wrapText="1"/>
    </xf>
    <xf numFmtId="2" fontId="6" fillId="6" borderId="28" xfId="0" applyNumberFormat="1" applyFont="1" applyFill="1" applyBorder="1" applyAlignment="1">
      <alignment horizontal="center" vertical="center" wrapText="1"/>
    </xf>
    <xf numFmtId="164" fontId="7" fillId="5" borderId="97" xfId="0" applyNumberFormat="1" applyFont="1" applyFill="1" applyBorder="1" applyAlignment="1">
      <alignment horizontal="center"/>
    </xf>
    <xf numFmtId="164" fontId="7" fillId="6" borderId="81" xfId="0" applyNumberFormat="1" applyFont="1" applyFill="1" applyBorder="1" applyAlignment="1">
      <alignment horizontal="center"/>
    </xf>
    <xf numFmtId="164" fontId="7" fillId="5" borderId="16" xfId="0" applyNumberFormat="1" applyFont="1" applyFill="1" applyBorder="1" applyAlignment="1">
      <alignment horizontal="center"/>
    </xf>
    <xf numFmtId="164" fontId="10" fillId="6" borderId="0" xfId="0" applyNumberFormat="1" applyFont="1" applyFill="1" applyBorder="1" applyAlignment="1">
      <alignment horizontal="right"/>
    </xf>
    <xf numFmtId="164" fontId="10" fillId="6" borderId="0" xfId="0" applyNumberFormat="1" applyFont="1" applyFill="1" applyBorder="1" applyAlignment="1"/>
    <xf numFmtId="164" fontId="7" fillId="6" borderId="74" xfId="0" applyNumberFormat="1" applyFont="1" applyFill="1" applyBorder="1" applyAlignment="1">
      <alignment horizontal="center"/>
    </xf>
    <xf numFmtId="164" fontId="7" fillId="6" borderId="77" xfId="0" applyNumberFormat="1" applyFont="1" applyFill="1" applyBorder="1" applyAlignment="1">
      <alignment horizontal="center"/>
    </xf>
    <xf numFmtId="164" fontId="10" fillId="0" borderId="81" xfId="1" applyNumberFormat="1" applyBorder="1"/>
    <xf numFmtId="0" fontId="7" fillId="6" borderId="48" xfId="0" applyFont="1" applyFill="1" applyBorder="1" applyAlignment="1">
      <alignment horizontal="center"/>
    </xf>
    <xf numFmtId="0" fontId="7" fillId="6" borderId="48" xfId="1" applyFont="1" applyFill="1" applyBorder="1" applyAlignment="1">
      <alignment horizontal="center"/>
    </xf>
    <xf numFmtId="0" fontId="7" fillId="6" borderId="54" xfId="0" applyFont="1" applyFill="1" applyBorder="1" applyAlignment="1">
      <alignment horizontal="center"/>
    </xf>
    <xf numFmtId="0" fontId="7" fillId="0" borderId="55" xfId="0" applyFont="1" applyBorder="1" applyAlignment="1">
      <alignment horizontal="center"/>
    </xf>
    <xf numFmtId="10" fontId="8" fillId="9" borderId="5" xfId="0" applyNumberFormat="1" applyFont="1" applyFill="1" applyBorder="1" applyAlignment="1">
      <alignment horizontal="center" vertical="center" wrapText="1"/>
    </xf>
    <xf numFmtId="0" fontId="0" fillId="0" borderId="5" xfId="0" applyBorder="1"/>
    <xf numFmtId="0" fontId="6" fillId="2"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6" fillId="2" borderId="21" xfId="0" applyFont="1" applyFill="1" applyBorder="1" applyAlignment="1">
      <alignment horizontal="left" vertical="top" wrapText="1"/>
    </xf>
    <xf numFmtId="0" fontId="10" fillId="0" borderId="21" xfId="0" applyFont="1" applyBorder="1"/>
    <xf numFmtId="0" fontId="5" fillId="4" borderId="40" xfId="0" applyFont="1" applyFill="1" applyBorder="1" applyAlignment="1">
      <alignment horizontal="left" vertical="top" wrapText="1"/>
    </xf>
    <xf numFmtId="0" fontId="10" fillId="0" borderId="39" xfId="0" applyFont="1" applyBorder="1"/>
    <xf numFmtId="0" fontId="7" fillId="0" borderId="98" xfId="0" applyFont="1" applyBorder="1" applyAlignment="1">
      <alignment horizontal="center" vertical="center" wrapText="1"/>
    </xf>
    <xf numFmtId="0" fontId="10" fillId="0" borderId="99" xfId="0" applyFont="1" applyBorder="1"/>
    <xf numFmtId="0" fontId="0" fillId="0" borderId="92" xfId="0" applyBorder="1"/>
    <xf numFmtId="0" fontId="7" fillId="0" borderId="74" xfId="0" applyFont="1" applyBorder="1" applyAlignment="1">
      <alignment horizontal="center" vertical="center"/>
    </xf>
    <xf numFmtId="0" fontId="7" fillId="0" borderId="57" xfId="0" applyFont="1" applyBorder="1" applyAlignment="1">
      <alignment horizontal="center" vertical="center"/>
    </xf>
    <xf numFmtId="0" fontId="13" fillId="0" borderId="74" xfId="0" applyFont="1" applyBorder="1" applyAlignment="1">
      <alignment horizontal="center" vertical="center"/>
    </xf>
    <xf numFmtId="0" fontId="7" fillId="0" borderId="39" xfId="0" applyFont="1" applyBorder="1" applyAlignment="1">
      <alignment horizontal="center" vertical="center" wrapText="1"/>
    </xf>
    <xf numFmtId="0" fontId="7" fillId="2" borderId="48" xfId="0" applyFont="1" applyFill="1" applyBorder="1" applyAlignment="1">
      <alignment horizontal="left" vertical="top" wrapText="1"/>
    </xf>
    <xf numFmtId="0" fontId="7" fillId="2" borderId="53" xfId="0" applyFont="1" applyFill="1" applyBorder="1" applyAlignment="1">
      <alignment horizontal="left" vertical="top" wrapText="1"/>
    </xf>
    <xf numFmtId="0" fontId="7" fillId="6" borderId="53" xfId="1" applyFont="1" applyFill="1" applyBorder="1" applyAlignment="1">
      <alignment horizontal="left" vertical="top" wrapText="1"/>
    </xf>
    <xf numFmtId="0" fontId="7" fillId="5" borderId="53" xfId="1" applyFont="1" applyFill="1" applyBorder="1" applyAlignment="1">
      <alignment horizontal="left" vertical="top" wrapText="1"/>
    </xf>
    <xf numFmtId="0" fontId="7" fillId="2" borderId="54" xfId="0" applyFont="1" applyFill="1" applyBorder="1" applyAlignment="1">
      <alignment horizontal="left" vertical="top" wrapText="1"/>
    </xf>
    <xf numFmtId="10" fontId="11" fillId="6" borderId="37" xfId="0" applyNumberFormat="1" applyFont="1" applyFill="1" applyBorder="1" applyAlignment="1">
      <alignment horizontal="center"/>
    </xf>
    <xf numFmtId="10" fontId="9" fillId="0" borderId="30" xfId="0" applyNumberFormat="1" applyFont="1" applyBorder="1" applyAlignment="1">
      <alignment horizontal="center"/>
    </xf>
    <xf numFmtId="0" fontId="11" fillId="8" borderId="39" xfId="0" applyFont="1" applyFill="1" applyBorder="1" applyAlignment="1"/>
    <xf numFmtId="0" fontId="9" fillId="0" borderId="39" xfId="0" applyFont="1" applyBorder="1" applyAlignment="1"/>
    <xf numFmtId="0" fontId="9" fillId="0" borderId="49" xfId="0" applyFont="1" applyBorder="1" applyAlignment="1"/>
    <xf numFmtId="10" fontId="27" fillId="6" borderId="100" xfId="0" applyNumberFormat="1" applyFont="1" applyFill="1" applyBorder="1" applyAlignment="1"/>
    <xf numFmtId="0" fontId="10" fillId="0" borderId="5" xfId="0" applyFont="1" applyBorder="1"/>
    <xf numFmtId="0" fontId="28" fillId="13" borderId="101" xfId="0" applyFont="1" applyFill="1" applyBorder="1" applyAlignment="1">
      <alignment horizontal="center"/>
    </xf>
    <xf numFmtId="10" fontId="28" fillId="13" borderId="101" xfId="0" applyNumberFormat="1" applyFont="1" applyFill="1" applyBorder="1" applyAlignment="1">
      <alignment horizontal="center"/>
    </xf>
    <xf numFmtId="0" fontId="28" fillId="13" borderId="102" xfId="0" applyFont="1" applyFill="1" applyBorder="1"/>
    <xf numFmtId="0" fontId="28" fillId="13" borderId="101" xfId="0" applyFont="1" applyFill="1" applyBorder="1"/>
    <xf numFmtId="0" fontId="0" fillId="0" borderId="5" xfId="0" applyBorder="1" applyAlignment="1">
      <alignment horizontal="left"/>
    </xf>
    <xf numFmtId="0" fontId="0" fillId="0" borderId="34" xfId="0" applyBorder="1" applyAlignment="1">
      <alignment horizontal="left"/>
    </xf>
    <xf numFmtId="0" fontId="0" fillId="0" borderId="31" xfId="0" applyBorder="1" applyAlignment="1">
      <alignment horizontal="center"/>
    </xf>
    <xf numFmtId="10" fontId="0" fillId="0" borderId="24" xfId="0" applyNumberFormat="1" applyBorder="1" applyAlignment="1">
      <alignment horizontal="center"/>
    </xf>
    <xf numFmtId="0" fontId="0" fillId="0" borderId="42" xfId="0" applyBorder="1" applyAlignment="1">
      <alignment horizontal="center"/>
    </xf>
    <xf numFmtId="10" fontId="0" fillId="0" borderId="11" xfId="0" applyNumberFormat="1" applyBorder="1" applyAlignment="1">
      <alignment horizontal="center"/>
    </xf>
    <xf numFmtId="10" fontId="29" fillId="13" borderId="11" xfId="0" applyNumberFormat="1" applyFont="1" applyFill="1" applyBorder="1" applyAlignment="1">
      <alignment horizontal="center"/>
    </xf>
    <xf numFmtId="10" fontId="5" fillId="4" borderId="2" xfId="0" applyNumberFormat="1" applyFont="1" applyFill="1" applyBorder="1" applyAlignment="1">
      <alignment horizontal="left" vertical="top" wrapText="1"/>
    </xf>
    <xf numFmtId="10" fontId="5" fillId="4" borderId="3" xfId="0" applyNumberFormat="1" applyFont="1" applyFill="1" applyBorder="1" applyAlignment="1">
      <alignment horizontal="left" vertical="top" wrapText="1"/>
    </xf>
    <xf numFmtId="0" fontId="6" fillId="3" borderId="2" xfId="0" applyFont="1" applyFill="1" applyBorder="1" applyAlignment="1">
      <alignment horizontal="left" vertical="top" wrapText="1"/>
    </xf>
    <xf numFmtId="0" fontId="0" fillId="2" borderId="103" xfId="0" applyFill="1" applyBorder="1" applyAlignment="1">
      <alignment horizontal="left" vertical="top" wrapText="1"/>
    </xf>
    <xf numFmtId="0" fontId="5" fillId="4" borderId="2" xfId="0" applyFont="1" applyFill="1" applyBorder="1" applyAlignment="1">
      <alignment horizontal="left" vertical="top" wrapText="1"/>
    </xf>
    <xf numFmtId="166" fontId="6" fillId="2" borderId="2" xfId="0" applyNumberFormat="1" applyFont="1" applyFill="1" applyBorder="1" applyAlignment="1">
      <alignment horizontal="right" vertical="top" wrapText="1"/>
    </xf>
    <xf numFmtId="4" fontId="6" fillId="2" borderId="2" xfId="0" applyNumberFormat="1" applyFont="1" applyFill="1" applyBorder="1" applyAlignment="1">
      <alignment horizontal="right" vertical="top" wrapText="1"/>
    </xf>
    <xf numFmtId="168" fontId="6" fillId="2" borderId="2" xfId="0" applyNumberFormat="1" applyFont="1" applyFill="1" applyBorder="1" applyAlignment="1">
      <alignment horizontal="right" vertical="top" wrapText="1"/>
    </xf>
    <xf numFmtId="3" fontId="6" fillId="2" borderId="2" xfId="0" applyNumberFormat="1" applyFont="1" applyFill="1" applyBorder="1" applyAlignment="1">
      <alignment horizontal="right" vertical="top" wrapText="1"/>
    </xf>
    <xf numFmtId="169" fontId="6" fillId="2" borderId="2" xfId="0" applyNumberFormat="1" applyFont="1" applyFill="1" applyBorder="1" applyAlignment="1">
      <alignment horizontal="right" vertical="top" wrapText="1"/>
    </xf>
    <xf numFmtId="166" fontId="6" fillId="2" borderId="3" xfId="0" applyNumberFormat="1" applyFont="1" applyFill="1" applyBorder="1" applyAlignment="1">
      <alignment horizontal="right" vertical="top" wrapText="1"/>
    </xf>
    <xf numFmtId="0" fontId="22" fillId="5" borderId="0" xfId="1" applyFont="1" applyFill="1" applyAlignment="1">
      <alignment horizontal="center" vertical="center" wrapText="1"/>
    </xf>
    <xf numFmtId="0" fontId="17" fillId="0" borderId="0" xfId="1" applyFont="1" applyAlignment="1">
      <alignment horizontal="left" vertical="top"/>
    </xf>
    <xf numFmtId="0" fontId="17" fillId="0" borderId="70" xfId="1" applyFont="1" applyBorder="1" applyAlignment="1">
      <alignment horizontal="left" vertical="top"/>
    </xf>
    <xf numFmtId="0" fontId="17" fillId="0" borderId="67" xfId="1" applyFont="1" applyBorder="1" applyAlignment="1">
      <alignment horizontal="left" vertical="top"/>
    </xf>
    <xf numFmtId="0" fontId="17" fillId="0" borderId="68" xfId="1" applyFont="1" applyBorder="1" applyAlignment="1">
      <alignment horizontal="left" vertical="top"/>
    </xf>
    <xf numFmtId="0" fontId="15" fillId="5" borderId="0" xfId="1" applyFont="1" applyFill="1" applyAlignment="1">
      <alignment horizontal="left" vertical="top"/>
    </xf>
    <xf numFmtId="0" fontId="19" fillId="0" borderId="63" xfId="1" applyFont="1" applyBorder="1" applyAlignment="1">
      <alignment horizontal="left" vertical="top" wrapText="1"/>
    </xf>
    <xf numFmtId="0" fontId="19" fillId="0" borderId="64" xfId="1" applyFont="1" applyBorder="1" applyAlignment="1">
      <alignment horizontal="left" vertical="top" wrapText="1"/>
    </xf>
    <xf numFmtId="0" fontId="19" fillId="0" borderId="65" xfId="1" applyFont="1" applyBorder="1" applyAlignment="1">
      <alignment horizontal="left" vertical="top" wrapText="1"/>
    </xf>
    <xf numFmtId="0" fontId="19" fillId="0" borderId="69" xfId="1" applyFont="1" applyBorder="1" applyAlignment="1">
      <alignment horizontal="left" vertical="top" wrapText="1"/>
    </xf>
    <xf numFmtId="0" fontId="19" fillId="0" borderId="0" xfId="1" applyFont="1" applyAlignment="1">
      <alignment horizontal="left" vertical="top" wrapText="1"/>
    </xf>
    <xf numFmtId="0" fontId="19" fillId="0" borderId="70" xfId="1" applyFont="1" applyBorder="1" applyAlignment="1">
      <alignment horizontal="left" vertical="top" wrapText="1"/>
    </xf>
    <xf numFmtId="0" fontId="17" fillId="0" borderId="69" xfId="1" applyFont="1" applyBorder="1" applyAlignment="1">
      <alignment horizontal="left" vertical="top" wrapText="1"/>
    </xf>
    <xf numFmtId="0" fontId="17" fillId="0" borderId="0" xfId="1" applyFont="1" applyAlignment="1">
      <alignment horizontal="left" vertical="top" wrapText="1"/>
    </xf>
    <xf numFmtId="0" fontId="17" fillId="0" borderId="70" xfId="1" applyFont="1" applyBorder="1" applyAlignment="1">
      <alignment horizontal="left" vertical="top" wrapText="1"/>
    </xf>
    <xf numFmtId="0" fontId="17" fillId="0" borderId="66" xfId="1" applyFont="1" applyBorder="1" applyAlignment="1">
      <alignment horizontal="left" vertical="top" wrapText="1"/>
    </xf>
    <xf numFmtId="0" fontId="17" fillId="0" borderId="67" xfId="1" applyFont="1" applyBorder="1" applyAlignment="1">
      <alignment horizontal="left" vertical="top" wrapText="1"/>
    </xf>
    <xf numFmtId="0" fontId="17" fillId="0" borderId="68" xfId="1" applyFont="1" applyBorder="1" applyAlignment="1">
      <alignment horizontal="left" vertical="top" wrapText="1"/>
    </xf>
    <xf numFmtId="0" fontId="17" fillId="0" borderId="63" xfId="1" applyFont="1" applyBorder="1" applyAlignment="1">
      <alignment horizontal="left" vertical="top" wrapText="1"/>
    </xf>
    <xf numFmtId="0" fontId="17" fillId="0" borderId="64" xfId="1" applyFont="1" applyBorder="1" applyAlignment="1">
      <alignment horizontal="left" vertical="top" wrapText="1"/>
    </xf>
    <xf numFmtId="0" fontId="17" fillId="0" borderId="65" xfId="1" applyFont="1" applyBorder="1" applyAlignment="1">
      <alignment horizontal="left" vertical="top" wrapText="1"/>
    </xf>
    <xf numFmtId="0" fontId="17" fillId="0" borderId="82" xfId="1" applyFont="1" applyBorder="1" applyAlignment="1">
      <alignment horizontal="left" vertical="top" wrapText="1"/>
    </xf>
    <xf numFmtId="0" fontId="17" fillId="0" borderId="83" xfId="1" applyFont="1" applyBorder="1" applyAlignment="1">
      <alignment horizontal="left" vertical="top" wrapText="1"/>
    </xf>
    <xf numFmtId="0" fontId="17" fillId="0" borderId="84" xfId="1" applyFont="1" applyBorder="1" applyAlignment="1">
      <alignment horizontal="left" vertical="top" wrapText="1"/>
    </xf>
    <xf numFmtId="0" fontId="17" fillId="0" borderId="85" xfId="1" applyFont="1" applyBorder="1" applyAlignment="1">
      <alignment horizontal="left" vertical="top" wrapText="1"/>
    </xf>
    <xf numFmtId="0" fontId="17" fillId="0" borderId="5" xfId="1" applyFont="1" applyBorder="1" applyAlignment="1">
      <alignment horizontal="left" vertical="top" wrapText="1"/>
    </xf>
    <xf numFmtId="0" fontId="17" fillId="0" borderId="86" xfId="1" applyFont="1" applyBorder="1" applyAlignment="1">
      <alignment horizontal="left" vertical="top" wrapText="1"/>
    </xf>
    <xf numFmtId="0" fontId="17" fillId="0" borderId="87" xfId="1" applyFont="1" applyBorder="1" applyAlignment="1">
      <alignment horizontal="left" vertical="top" wrapText="1"/>
    </xf>
    <xf numFmtId="0" fontId="17" fillId="0" borderId="88" xfId="1" applyFont="1" applyBorder="1" applyAlignment="1">
      <alignment horizontal="left" vertical="top" wrapText="1"/>
    </xf>
    <xf numFmtId="0" fontId="17" fillId="0" borderId="89" xfId="1" applyFont="1" applyBorder="1" applyAlignment="1">
      <alignment horizontal="left" vertical="top" wrapText="1"/>
    </xf>
    <xf numFmtId="0" fontId="17" fillId="0" borderId="90" xfId="1" applyFont="1" applyBorder="1" applyAlignment="1">
      <alignment horizontal="left" vertical="top" wrapText="1"/>
    </xf>
    <xf numFmtId="0" fontId="17" fillId="0" borderId="91" xfId="1" applyFont="1" applyBorder="1" applyAlignment="1">
      <alignment horizontal="left" vertical="top" wrapText="1"/>
    </xf>
    <xf numFmtId="0" fontId="16" fillId="5" borderId="0" xfId="1" applyFont="1" applyFill="1" applyAlignment="1">
      <alignment horizontal="center"/>
    </xf>
    <xf numFmtId="0" fontId="17" fillId="0" borderId="58" xfId="1" applyFont="1" applyBorder="1" applyAlignment="1">
      <alignment horizontal="left" vertical="top" wrapText="1"/>
    </xf>
    <xf numFmtId="0" fontId="17" fillId="0" borderId="59" xfId="1" applyFont="1" applyBorder="1" applyAlignment="1">
      <alignment horizontal="left" vertical="top" wrapText="1"/>
    </xf>
    <xf numFmtId="0" fontId="17" fillId="0" borderId="60" xfId="1" applyFont="1" applyBorder="1" applyAlignment="1">
      <alignment horizontal="left" vertical="top" wrapText="1"/>
    </xf>
    <xf numFmtId="0" fontId="17" fillId="0" borderId="61" xfId="1" applyFont="1" applyBorder="1" applyAlignment="1">
      <alignment horizontal="left" vertical="top" wrapText="1"/>
    </xf>
    <xf numFmtId="0" fontId="17" fillId="0" borderId="62" xfId="1" applyFont="1" applyBorder="1" applyAlignment="1">
      <alignment horizontal="left" vertical="top" wrapText="1"/>
    </xf>
    <xf numFmtId="0" fontId="14" fillId="0" borderId="80" xfId="1" applyFont="1" applyBorder="1" applyAlignment="1">
      <alignment horizontal="center" vertical="center"/>
    </xf>
    <xf numFmtId="0" fontId="14" fillId="0" borderId="56" xfId="1" applyFont="1" applyBorder="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0" fontId="15" fillId="0" borderId="0" xfId="1" applyFont="1" applyAlignment="1">
      <alignment horizontal="center"/>
    </xf>
    <xf numFmtId="0" fontId="24" fillId="0" borderId="80" xfId="1" applyFont="1" applyBorder="1" applyAlignment="1">
      <alignment horizontal="center"/>
    </xf>
    <xf numFmtId="0" fontId="24" fillId="0" borderId="49" xfId="1" applyFont="1" applyBorder="1" applyAlignment="1">
      <alignment horizontal="center"/>
    </xf>
    <xf numFmtId="0" fontId="14" fillId="0" borderId="40" xfId="1" applyFont="1" applyBorder="1" applyAlignment="1">
      <alignment horizontal="center"/>
    </xf>
    <xf numFmtId="0" fontId="14" fillId="0" borderId="39" xfId="1" applyFont="1" applyBorder="1" applyAlignment="1">
      <alignment horizontal="center"/>
    </xf>
    <xf numFmtId="0" fontId="14" fillId="0" borderId="6" xfId="1" applyFont="1" applyBorder="1" applyAlignment="1">
      <alignment horizontal="center" vertical="center"/>
    </xf>
    <xf numFmtId="0" fontId="16" fillId="0" borderId="0" xfId="0" applyFont="1" applyAlignment="1">
      <alignment horizontal="center"/>
    </xf>
    <xf numFmtId="0" fontId="15" fillId="0" borderId="0" xfId="0" applyFont="1" applyAlignment="1">
      <alignment horizontal="center"/>
    </xf>
    <xf numFmtId="0" fontId="11" fillId="8" borderId="40" xfId="0" applyFont="1" applyFill="1" applyBorder="1" applyAlignment="1">
      <alignment horizontal="center"/>
    </xf>
    <xf numFmtId="0" fontId="11" fillId="8" borderId="37" xfId="0" applyFont="1" applyFill="1" applyBorder="1" applyAlignment="1">
      <alignment horizontal="center"/>
    </xf>
    <xf numFmtId="0" fontId="11" fillId="8" borderId="39" xfId="0" applyFont="1" applyFill="1" applyBorder="1" applyAlignment="1">
      <alignment horizontal="center"/>
    </xf>
    <xf numFmtId="0" fontId="4" fillId="0" borderId="40" xfId="0" applyFont="1" applyBorder="1" applyAlignment="1">
      <alignment horizontal="center"/>
    </xf>
    <xf numFmtId="0" fontId="4" fillId="0" borderId="37" xfId="0" applyFont="1" applyBorder="1" applyAlignment="1">
      <alignment horizontal="center"/>
    </xf>
    <xf numFmtId="0" fontId="4" fillId="0" borderId="39" xfId="0" applyFont="1" applyBorder="1" applyAlignment="1">
      <alignment horizontal="center"/>
    </xf>
    <xf numFmtId="10" fontId="9" fillId="0" borderId="40" xfId="0" applyNumberFormat="1" applyFont="1" applyBorder="1" applyAlignment="1">
      <alignment horizontal="center"/>
    </xf>
    <xf numFmtId="10" fontId="9" fillId="0" borderId="37" xfId="0" applyNumberFormat="1" applyFont="1" applyBorder="1" applyAlignment="1">
      <alignment horizontal="center"/>
    </xf>
    <xf numFmtId="10" fontId="9" fillId="0" borderId="39" xfId="0" applyNumberFormat="1" applyFont="1" applyBorder="1" applyAlignment="1">
      <alignment horizontal="center"/>
    </xf>
    <xf numFmtId="0" fontId="9" fillId="0" borderId="40" xfId="0" applyFont="1" applyBorder="1" applyAlignment="1">
      <alignment horizontal="center"/>
    </xf>
    <xf numFmtId="0" fontId="9" fillId="0" borderId="37" xfId="0" applyFont="1" applyBorder="1" applyAlignment="1">
      <alignment horizontal="center"/>
    </xf>
    <xf numFmtId="0" fontId="9" fillId="0" borderId="39" xfId="0" applyFont="1" applyBorder="1" applyAlignment="1">
      <alignment horizontal="center"/>
    </xf>
    <xf numFmtId="0" fontId="9" fillId="0" borderId="32" xfId="0" applyFont="1" applyBorder="1" applyAlignment="1">
      <alignment horizontal="center"/>
    </xf>
    <xf numFmtId="0" fontId="9" fillId="0" borderId="30" xfId="0" applyFont="1" applyBorder="1" applyAlignment="1">
      <alignment horizontal="center"/>
    </xf>
    <xf numFmtId="0" fontId="9" fillId="0" borderId="33" xfId="0" applyFont="1" applyBorder="1" applyAlignment="1">
      <alignment horizontal="center"/>
    </xf>
    <xf numFmtId="10" fontId="11" fillId="6" borderId="40" xfId="0" applyNumberFormat="1" applyFont="1" applyFill="1" applyBorder="1" applyAlignment="1">
      <alignment horizontal="center"/>
    </xf>
    <xf numFmtId="10" fontId="11" fillId="6" borderId="37" xfId="0" applyNumberFormat="1" applyFont="1" applyFill="1" applyBorder="1" applyAlignment="1">
      <alignment horizontal="center"/>
    </xf>
    <xf numFmtId="10" fontId="11" fillId="6" borderId="39" xfId="0" applyNumberFormat="1" applyFont="1" applyFill="1" applyBorder="1" applyAlignment="1">
      <alignment horizontal="center"/>
    </xf>
    <xf numFmtId="0" fontId="11" fillId="6" borderId="40" xfId="0" applyFont="1" applyFill="1" applyBorder="1" applyAlignment="1">
      <alignment horizontal="center"/>
    </xf>
    <xf numFmtId="0" fontId="11" fillId="6" borderId="37" xfId="0" applyFont="1" applyFill="1" applyBorder="1" applyAlignment="1">
      <alignment horizontal="center"/>
    </xf>
    <xf numFmtId="0" fontId="11" fillId="6" borderId="39" xfId="0" applyFont="1" applyFill="1" applyBorder="1" applyAlignment="1">
      <alignment horizontal="center"/>
    </xf>
    <xf numFmtId="10" fontId="9" fillId="0" borderId="32" xfId="0" applyNumberFormat="1" applyFont="1" applyBorder="1" applyAlignment="1">
      <alignment horizontal="center"/>
    </xf>
    <xf numFmtId="10" fontId="9" fillId="0" borderId="30" xfId="0" applyNumberFormat="1" applyFont="1" applyBorder="1" applyAlignment="1">
      <alignment horizontal="center"/>
    </xf>
    <xf numFmtId="10" fontId="9" fillId="0" borderId="33" xfId="0" applyNumberFormat="1" applyFont="1" applyBorder="1" applyAlignment="1">
      <alignment horizontal="center"/>
    </xf>
    <xf numFmtId="0" fontId="11" fillId="0" borderId="45" xfId="0" applyFont="1" applyBorder="1" applyAlignment="1">
      <alignment horizontal="center" vertical="center" textRotation="90"/>
    </xf>
    <xf numFmtId="0" fontId="11" fillId="0" borderId="8" xfId="0" applyFont="1" applyBorder="1" applyAlignment="1">
      <alignment horizontal="center" vertical="center" textRotation="90"/>
    </xf>
    <xf numFmtId="0" fontId="11" fillId="0" borderId="74" xfId="0" applyFont="1" applyBorder="1" applyAlignment="1">
      <alignment horizontal="center" vertical="center" textRotation="90"/>
    </xf>
    <xf numFmtId="0" fontId="11" fillId="0" borderId="45"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1" fillId="0" borderId="74" xfId="0" applyFont="1" applyBorder="1" applyAlignment="1">
      <alignment horizontal="center" vertical="center" textRotation="90" wrapText="1"/>
    </xf>
    <xf numFmtId="0" fontId="4" fillId="0" borderId="80" xfId="0" applyFont="1" applyBorder="1" applyAlignment="1">
      <alignment horizontal="center"/>
    </xf>
    <xf numFmtId="0" fontId="4" fillId="0" borderId="92" xfId="0" applyFont="1" applyBorder="1" applyAlignment="1">
      <alignment horizontal="center"/>
    </xf>
    <xf numFmtId="0" fontId="4" fillId="0" borderId="49" xfId="0" applyFont="1" applyBorder="1" applyAlignment="1">
      <alignment horizontal="center"/>
    </xf>
    <xf numFmtId="0" fontId="4" fillId="0" borderId="0" xfId="0" applyFont="1" applyFill="1" applyBorder="1" applyAlignment="1">
      <alignment horizontal="left" vertical="top" wrapText="1"/>
    </xf>
    <xf numFmtId="0" fontId="7" fillId="0" borderId="37" xfId="0" applyFont="1" applyBorder="1" applyAlignment="1">
      <alignment horizontal="center"/>
    </xf>
    <xf numFmtId="0" fontId="7" fillId="0" borderId="39" xfId="0" applyFont="1" applyBorder="1" applyAlignment="1">
      <alignment horizontal="center"/>
    </xf>
    <xf numFmtId="10" fontId="7" fillId="0" borderId="27" xfId="0" applyNumberFormat="1" applyFont="1" applyBorder="1" applyAlignment="1">
      <alignment horizontal="center" wrapText="1"/>
    </xf>
    <xf numFmtId="10" fontId="7" fillId="0" borderId="37" xfId="0" applyNumberFormat="1" applyFont="1" applyBorder="1" applyAlignment="1">
      <alignment horizontal="center" wrapText="1"/>
    </xf>
    <xf numFmtId="10" fontId="7" fillId="0" borderId="29" xfId="0" applyNumberFormat="1" applyFont="1" applyBorder="1" applyAlignment="1">
      <alignment horizontal="center" wrapText="1"/>
    </xf>
    <xf numFmtId="10" fontId="9" fillId="0" borderId="12" xfId="0" applyNumberFormat="1" applyFont="1" applyBorder="1" applyAlignment="1">
      <alignment horizontal="center"/>
    </xf>
    <xf numFmtId="10" fontId="9" fillId="0" borderId="13" xfId="0" applyNumberFormat="1" applyFont="1" applyBorder="1" applyAlignment="1">
      <alignment horizontal="center"/>
    </xf>
    <xf numFmtId="10" fontId="9" fillId="0" borderId="38" xfId="0" applyNumberFormat="1" applyFont="1" applyBorder="1" applyAlignment="1">
      <alignment horizontal="center"/>
    </xf>
    <xf numFmtId="10" fontId="9" fillId="0" borderId="14" xfId="0" applyNumberFormat="1" applyFont="1" applyBorder="1" applyAlignment="1">
      <alignment horizontal="center"/>
    </xf>
    <xf numFmtId="0" fontId="9" fillId="0" borderId="12" xfId="0" applyFont="1" applyBorder="1" applyAlignment="1">
      <alignment horizontal="center"/>
    </xf>
    <xf numFmtId="0" fontId="9" fillId="0" borderId="14" xfId="0" applyFont="1" applyBorder="1" applyAlignment="1">
      <alignment horizontal="center"/>
    </xf>
    <xf numFmtId="0" fontId="9" fillId="0" borderId="13" xfId="0" applyFont="1" applyBorder="1" applyAlignment="1">
      <alignment horizontal="center"/>
    </xf>
    <xf numFmtId="0" fontId="7" fillId="0" borderId="27" xfId="0" applyFont="1" applyBorder="1" applyAlignment="1">
      <alignment horizontal="center" wrapText="1"/>
    </xf>
    <xf numFmtId="0" fontId="7" fillId="0" borderId="39" xfId="0" applyFont="1" applyBorder="1" applyAlignment="1">
      <alignment horizontal="center" wrapText="1"/>
    </xf>
    <xf numFmtId="0" fontId="7" fillId="0" borderId="29" xfId="0" applyFont="1" applyBorder="1" applyAlignment="1">
      <alignment horizontal="center" wrapText="1"/>
    </xf>
    <xf numFmtId="10" fontId="7" fillId="0" borderId="40" xfId="0" applyNumberFormat="1" applyFont="1" applyBorder="1" applyAlignment="1">
      <alignment horizontal="center" wrapText="1"/>
    </xf>
    <xf numFmtId="10" fontId="7" fillId="0" borderId="40" xfId="0" applyNumberFormat="1" applyFont="1" applyFill="1" applyBorder="1" applyAlignment="1">
      <alignment horizontal="center" wrapText="1"/>
    </xf>
    <xf numFmtId="10" fontId="7" fillId="0" borderId="29" xfId="0" applyNumberFormat="1" applyFont="1" applyFill="1" applyBorder="1" applyAlignment="1">
      <alignment horizontal="center" wrapText="1"/>
    </xf>
  </cellXfs>
  <cellStyles count="5">
    <cellStyle name="Check Cell" xfId="2" builtinId="23"/>
    <cellStyle name="Normal" xfId="0" builtinId="0"/>
    <cellStyle name="Normal 2" xfId="1" xr:uid="{00000000-0005-0000-0000-000002000000}"/>
    <cellStyle name="Normal 3" xfId="3" xr:uid="{00000000-0005-0000-0000-000003000000}"/>
    <cellStyle name="Normal 3 2" xfId="4" xr:uid="{00000000-0005-0000-0000-000004000000}"/>
  </cellStyles>
  <dxfs count="20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0" formatCode="General"/>
      <fill>
        <patternFill>
          <bgColor theme="0" tint="-0.24994659260841701"/>
        </patternFill>
      </fill>
    </dxf>
  </dxfs>
  <tableStyles count="0" defaultTableStyle="TableStyleMedium9" defaultPivotStyle="PivotStyleLight16"/>
  <colors>
    <mruColors>
      <color rgb="FF92D050"/>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Managers Accountability</a:t>
            </a:r>
          </a:p>
        </c:rich>
      </c:tx>
      <c:overlay val="0"/>
    </c:title>
    <c:autoTitleDeleted val="0"/>
    <c:plotArea>
      <c:layout>
        <c:manualLayout>
          <c:layoutTarget val="inner"/>
          <c:xMode val="edge"/>
          <c:yMode val="edge"/>
          <c:x val="7.2376947523945606E-2"/>
          <c:y val="0.10592756896841171"/>
          <c:w val="0.87422323531359059"/>
          <c:h val="0.75549751851438574"/>
        </c:manualLayout>
      </c:layout>
      <c:lineChart>
        <c:grouping val="standard"/>
        <c:varyColors val="0"/>
        <c:ser>
          <c:idx val="0"/>
          <c:order val="0"/>
          <c:tx>
            <c:strRef>
              <c:f>'CID Coversheet (TW)'!$B$2</c:f>
              <c:strCache>
                <c:ptCount val="1"/>
                <c:pt idx="0">
                  <c:v>Appraisal </c:v>
                </c:pt>
              </c:strCache>
            </c:strRef>
          </c:tx>
          <c:spPr>
            <a:ln w="31750">
              <a:prstDash val="solid"/>
            </a:ln>
          </c:spPr>
          <c:marker>
            <c:symbol val="none"/>
          </c:marker>
          <c:cat>
            <c:strRef>
              <c:f>'CID Coversheet (TW)'!$F$1:$N$1</c:f>
              <c:strCache>
                <c:ptCount val="9"/>
                <c:pt idx="0">
                  <c:v>Q2. 2020.21</c:v>
                </c:pt>
                <c:pt idx="1">
                  <c:v>Q3. 2020.21</c:v>
                </c:pt>
                <c:pt idx="2">
                  <c:v>Q4. 2020.21</c:v>
                </c:pt>
                <c:pt idx="3">
                  <c:v>Q1. 2021.22</c:v>
                </c:pt>
                <c:pt idx="4">
                  <c:v>Q2. 2021.22</c:v>
                </c:pt>
                <c:pt idx="5">
                  <c:v>Q3. 2021.22</c:v>
                </c:pt>
                <c:pt idx="6">
                  <c:v>Q4. 2021.22</c:v>
                </c:pt>
                <c:pt idx="7">
                  <c:v>Q1. 2022.23</c:v>
                </c:pt>
                <c:pt idx="8">
                  <c:v>Q2. 2022.23</c:v>
                </c:pt>
              </c:strCache>
            </c:strRef>
          </c:cat>
          <c:val>
            <c:numRef>
              <c:f>'CID Coversheet (TW)'!$F$2:$N$2</c:f>
              <c:numCache>
                <c:formatCode>0.00%</c:formatCode>
                <c:ptCount val="9"/>
                <c:pt idx="0">
                  <c:v>0.76900000000000002</c:v>
                </c:pt>
                <c:pt idx="1">
                  <c:v>0.79890000000000005</c:v>
                </c:pt>
                <c:pt idx="2">
                  <c:v>0.85109999999999997</c:v>
                </c:pt>
                <c:pt idx="3">
                  <c:v>0.77929999999999999</c:v>
                </c:pt>
                <c:pt idx="4">
                  <c:v>0.81989999999999996</c:v>
                </c:pt>
                <c:pt idx="5">
                  <c:v>0.8276</c:v>
                </c:pt>
                <c:pt idx="6">
                  <c:v>0.77159999999999995</c:v>
                </c:pt>
                <c:pt idx="7">
                  <c:v>0.80269999999999997</c:v>
                </c:pt>
                <c:pt idx="8">
                  <c:v>0.83499999999999996</c:v>
                </c:pt>
              </c:numCache>
            </c:numRef>
          </c:val>
          <c:smooth val="0"/>
          <c:extLst>
            <c:ext xmlns:c16="http://schemas.microsoft.com/office/drawing/2014/chart" uri="{C3380CC4-5D6E-409C-BE32-E72D297353CC}">
              <c16:uniqueId val="{00000000-D0F7-4251-98AD-A5E1E462F4FD}"/>
            </c:ext>
          </c:extLst>
        </c:ser>
        <c:ser>
          <c:idx val="2"/>
          <c:order val="1"/>
          <c:tx>
            <c:strRef>
              <c:f>'CID Coversheet (TW)'!$B$3</c:f>
              <c:strCache>
                <c:ptCount val="1"/>
                <c:pt idx="0">
                  <c:v>Mandatory Training </c:v>
                </c:pt>
              </c:strCache>
            </c:strRef>
          </c:tx>
          <c:spPr>
            <a:ln w="31750">
              <a:solidFill>
                <a:schemeClr val="accent6"/>
              </a:solidFill>
              <a:prstDash val="solid"/>
            </a:ln>
          </c:spPr>
          <c:marker>
            <c:symbol val="none"/>
          </c:marker>
          <c:cat>
            <c:strRef>
              <c:f>'CID Coversheet (TW)'!$F$1:$N$1</c:f>
              <c:strCache>
                <c:ptCount val="9"/>
                <c:pt idx="0">
                  <c:v>Q2. 2020.21</c:v>
                </c:pt>
                <c:pt idx="1">
                  <c:v>Q3. 2020.21</c:v>
                </c:pt>
                <c:pt idx="2">
                  <c:v>Q4. 2020.21</c:v>
                </c:pt>
                <c:pt idx="3">
                  <c:v>Q1. 2021.22</c:v>
                </c:pt>
                <c:pt idx="4">
                  <c:v>Q2. 2021.22</c:v>
                </c:pt>
                <c:pt idx="5">
                  <c:v>Q3. 2021.22</c:v>
                </c:pt>
                <c:pt idx="6">
                  <c:v>Q4. 2021.22</c:v>
                </c:pt>
                <c:pt idx="7">
                  <c:v>Q1. 2022.23</c:v>
                </c:pt>
                <c:pt idx="8">
                  <c:v>Q2. 2022.23</c:v>
                </c:pt>
              </c:strCache>
            </c:strRef>
          </c:cat>
          <c:val>
            <c:numRef>
              <c:f>'CID Coversheet (TW)'!$F$3:$N$3</c:f>
              <c:numCache>
                <c:formatCode>0.00%</c:formatCode>
                <c:ptCount val="9"/>
                <c:pt idx="0">
                  <c:v>0.85</c:v>
                </c:pt>
                <c:pt idx="1">
                  <c:v>0.88</c:v>
                </c:pt>
                <c:pt idx="2">
                  <c:v>0.89</c:v>
                </c:pt>
                <c:pt idx="3">
                  <c:v>0.9</c:v>
                </c:pt>
                <c:pt idx="4">
                  <c:v>0.88</c:v>
                </c:pt>
                <c:pt idx="5">
                  <c:v>0.88</c:v>
                </c:pt>
                <c:pt idx="6">
                  <c:v>0.76</c:v>
                </c:pt>
                <c:pt idx="7">
                  <c:v>0.73</c:v>
                </c:pt>
                <c:pt idx="8">
                  <c:v>0.73419999999999996</c:v>
                </c:pt>
              </c:numCache>
            </c:numRef>
          </c:val>
          <c:smooth val="0"/>
          <c:extLst>
            <c:ext xmlns:c16="http://schemas.microsoft.com/office/drawing/2014/chart" uri="{C3380CC4-5D6E-409C-BE32-E72D297353CC}">
              <c16:uniqueId val="{00000001-D0F7-4251-98AD-A5E1E462F4FD}"/>
            </c:ext>
          </c:extLst>
        </c:ser>
        <c:ser>
          <c:idx val="1"/>
          <c:order val="2"/>
          <c:tx>
            <c:strRef>
              <c:f>'CID Coversheet (TW)'!$B$4</c:f>
              <c:strCache>
                <c:ptCount val="1"/>
                <c:pt idx="0">
                  <c:v>Benchmark</c:v>
                </c:pt>
              </c:strCache>
            </c:strRef>
          </c:tx>
          <c:spPr>
            <a:ln w="34925">
              <a:solidFill>
                <a:srgbClr val="7030A0"/>
              </a:solidFill>
            </a:ln>
          </c:spPr>
          <c:marker>
            <c:symbol val="none"/>
          </c:marker>
          <c:val>
            <c:numRef>
              <c:f>'CID Coversheet (TW)'!$F$4:$N$4</c:f>
              <c:numCache>
                <c:formatCode>0.00%</c:formatCode>
                <c:ptCount val="9"/>
                <c:pt idx="0">
                  <c:v>0.9</c:v>
                </c:pt>
                <c:pt idx="1">
                  <c:v>0.9</c:v>
                </c:pt>
                <c:pt idx="2">
                  <c:v>0.9</c:v>
                </c:pt>
                <c:pt idx="3">
                  <c:v>0.9</c:v>
                </c:pt>
                <c:pt idx="4">
                  <c:v>0.9</c:v>
                </c:pt>
                <c:pt idx="5">
                  <c:v>0.9</c:v>
                </c:pt>
                <c:pt idx="6">
                  <c:v>0.9</c:v>
                </c:pt>
                <c:pt idx="7">
                  <c:v>0.9</c:v>
                </c:pt>
                <c:pt idx="8">
                  <c:v>0.9</c:v>
                </c:pt>
              </c:numCache>
            </c:numRef>
          </c:val>
          <c:smooth val="0"/>
          <c:extLst>
            <c:ext xmlns:c16="http://schemas.microsoft.com/office/drawing/2014/chart" uri="{C3380CC4-5D6E-409C-BE32-E72D297353CC}">
              <c16:uniqueId val="{00000000-0AF0-4FD9-B554-1786DB2609FB}"/>
            </c:ext>
          </c:extLst>
        </c:ser>
        <c:dLbls>
          <c:showLegendKey val="0"/>
          <c:showVal val="0"/>
          <c:showCatName val="0"/>
          <c:showSerName val="0"/>
          <c:showPercent val="0"/>
          <c:showBubbleSize val="0"/>
        </c:dLbls>
        <c:smooth val="0"/>
        <c:axId val="198852096"/>
        <c:axId val="199267968"/>
      </c:lineChart>
      <c:catAx>
        <c:axId val="198852096"/>
        <c:scaling>
          <c:orientation val="minMax"/>
        </c:scaling>
        <c:delete val="0"/>
        <c:axPos val="b"/>
        <c:numFmt formatCode="General" sourceLinked="0"/>
        <c:majorTickMark val="out"/>
        <c:minorTickMark val="none"/>
        <c:tickLblPos val="nextTo"/>
        <c:crossAx val="199267968"/>
        <c:crosses val="autoZero"/>
        <c:auto val="1"/>
        <c:lblAlgn val="ctr"/>
        <c:lblOffset val="100"/>
        <c:noMultiLvlLbl val="0"/>
      </c:catAx>
      <c:valAx>
        <c:axId val="199267968"/>
        <c:scaling>
          <c:orientation val="minMax"/>
          <c:max val="1"/>
        </c:scaling>
        <c:delete val="0"/>
        <c:axPos val="l"/>
        <c:majorGridlines/>
        <c:numFmt formatCode="0.00%" sourceLinked="1"/>
        <c:majorTickMark val="out"/>
        <c:minorTickMark val="none"/>
        <c:tickLblPos val="nextTo"/>
        <c:crossAx val="198852096"/>
        <c:crosses val="autoZero"/>
        <c:crossBetween val="between"/>
      </c:valAx>
    </c:plotArea>
    <c:legend>
      <c:legendPos val="b"/>
      <c:overlay val="0"/>
    </c:legend>
    <c:plotVisOnly val="0"/>
    <c:dispBlanksAs val="gap"/>
    <c:showDLblsOverMax val="0"/>
  </c:chart>
  <c:txPr>
    <a:bodyPr/>
    <a:lstStyle/>
    <a:p>
      <a:pPr>
        <a:defRPr b="1"/>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800">
                <a:latin typeface="+mn-lt"/>
              </a:rPr>
              <a:t>Staff Sickness</a:t>
            </a:r>
          </a:p>
        </c:rich>
      </c:tx>
      <c:overlay val="0"/>
    </c:title>
    <c:autoTitleDeleted val="0"/>
    <c:plotArea>
      <c:layout/>
      <c:lineChart>
        <c:grouping val="standard"/>
        <c:varyColors val="0"/>
        <c:ser>
          <c:idx val="0"/>
          <c:order val="0"/>
          <c:tx>
            <c:strRef>
              <c:f>'CID Coversheet (TW)'!$A$5:$B$5</c:f>
              <c:strCache>
                <c:ptCount val="2"/>
                <c:pt idx="0">
                  <c:v>Staff Sickness</c:v>
                </c:pt>
              </c:strCache>
            </c:strRef>
          </c:tx>
          <c:spPr>
            <a:ln w="31750"/>
          </c:spPr>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(TW)'!$C$5:$N$5</c:f>
              <c:numCache>
                <c:formatCode>0.00%</c:formatCode>
                <c:ptCount val="12"/>
                <c:pt idx="0">
                  <c:v>4.9700000000000001E-2</c:v>
                </c:pt>
                <c:pt idx="1">
                  <c:v>5.0700000000000002E-2</c:v>
                </c:pt>
                <c:pt idx="2">
                  <c:v>4.6100000000000002E-2</c:v>
                </c:pt>
                <c:pt idx="3">
                  <c:v>4.5999999999999999E-2</c:v>
                </c:pt>
                <c:pt idx="4">
                  <c:v>5.2600000000000001E-2</c:v>
                </c:pt>
                <c:pt idx="5">
                  <c:v>4.8800000000000003E-2</c:v>
                </c:pt>
                <c:pt idx="6">
                  <c:v>4.8399999999999999E-2</c:v>
                </c:pt>
                <c:pt idx="7">
                  <c:v>6.0499999999999998E-2</c:v>
                </c:pt>
                <c:pt idx="8">
                  <c:v>6.4699999999999994E-2</c:v>
                </c:pt>
                <c:pt idx="9">
                  <c:v>7.3499999999999996E-2</c:v>
                </c:pt>
                <c:pt idx="10">
                  <c:v>6.1800000000000001E-2</c:v>
                </c:pt>
                <c:pt idx="11">
                  <c:v>6.2799999999999995E-2</c:v>
                </c:pt>
              </c:numCache>
            </c:numRef>
          </c:val>
          <c:smooth val="0"/>
          <c:extLst>
            <c:ext xmlns:c16="http://schemas.microsoft.com/office/drawing/2014/chart" uri="{C3380CC4-5D6E-409C-BE32-E72D297353CC}">
              <c16:uniqueId val="{00000000-7827-4FF3-B5B9-D60811F23806}"/>
            </c:ext>
          </c:extLst>
        </c:ser>
        <c:ser>
          <c:idx val="1"/>
          <c:order val="1"/>
          <c:tx>
            <c:strRef>
              <c:f>'CID Coversheet (TW)'!$B$6</c:f>
              <c:strCache>
                <c:ptCount val="1"/>
                <c:pt idx="0">
                  <c:v>Benchmark</c:v>
                </c:pt>
              </c:strCache>
            </c:strRef>
          </c:tx>
          <c:spPr>
            <a:ln w="31750">
              <a:solidFill>
                <a:srgbClr val="7030A0"/>
              </a:solidFill>
            </a:ln>
          </c:spPr>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(TW)'!$C$6:$N$6</c:f>
              <c:numCache>
                <c:formatCode>0.00%</c:formatCode>
                <c:ptCount val="12"/>
                <c:pt idx="0">
                  <c:v>3.9800000000000002E-2</c:v>
                </c:pt>
                <c:pt idx="1">
                  <c:v>3.9800000000000002E-2</c:v>
                </c:pt>
                <c:pt idx="2">
                  <c:v>3.9800000000000002E-2</c:v>
                </c:pt>
                <c:pt idx="3">
                  <c:v>3.9800000000000002E-2</c:v>
                </c:pt>
                <c:pt idx="4">
                  <c:v>3.9800000000000002E-2</c:v>
                </c:pt>
                <c:pt idx="5">
                  <c:v>3.9800000000000002E-2</c:v>
                </c:pt>
                <c:pt idx="6">
                  <c:v>3.9800000000000002E-2</c:v>
                </c:pt>
                <c:pt idx="7">
                  <c:v>3.9800000000000002E-2</c:v>
                </c:pt>
                <c:pt idx="8">
                  <c:v>3.9800000000000002E-2</c:v>
                </c:pt>
                <c:pt idx="9">
                  <c:v>3.9800000000000002E-2</c:v>
                </c:pt>
                <c:pt idx="10">
                  <c:v>3.9800000000000002E-2</c:v>
                </c:pt>
                <c:pt idx="11">
                  <c:v>3.9800000000000002E-2</c:v>
                </c:pt>
              </c:numCache>
            </c:numRef>
          </c:val>
          <c:smooth val="0"/>
          <c:extLst>
            <c:ext xmlns:c16="http://schemas.microsoft.com/office/drawing/2014/chart" uri="{C3380CC4-5D6E-409C-BE32-E72D297353CC}">
              <c16:uniqueId val="{00000001-7827-4FF3-B5B9-D60811F23806}"/>
            </c:ext>
          </c:extLst>
        </c:ser>
        <c:dLbls>
          <c:showLegendKey val="0"/>
          <c:showVal val="0"/>
          <c:showCatName val="0"/>
          <c:showSerName val="0"/>
          <c:showPercent val="0"/>
          <c:showBubbleSize val="0"/>
        </c:dLbls>
        <c:smooth val="0"/>
        <c:axId val="178940416"/>
        <c:axId val="178831360"/>
      </c:lineChart>
      <c:catAx>
        <c:axId val="178940416"/>
        <c:scaling>
          <c:orientation val="minMax"/>
        </c:scaling>
        <c:delete val="0"/>
        <c:axPos val="b"/>
        <c:numFmt formatCode="General" sourceLinked="0"/>
        <c:majorTickMark val="out"/>
        <c:minorTickMark val="none"/>
        <c:tickLblPos val="nextTo"/>
        <c:crossAx val="178831360"/>
        <c:crosses val="autoZero"/>
        <c:auto val="1"/>
        <c:lblAlgn val="ctr"/>
        <c:lblOffset val="100"/>
        <c:noMultiLvlLbl val="0"/>
      </c:catAx>
      <c:valAx>
        <c:axId val="178831360"/>
        <c:scaling>
          <c:orientation val="minMax"/>
          <c:max val="8.0000000000000016E-2"/>
        </c:scaling>
        <c:delete val="0"/>
        <c:axPos val="l"/>
        <c:majorGridlines/>
        <c:numFmt formatCode="0.00%" sourceLinked="1"/>
        <c:majorTickMark val="out"/>
        <c:minorTickMark val="none"/>
        <c:tickLblPos val="nextTo"/>
        <c:crossAx val="178940416"/>
        <c:crosses val="autoZero"/>
        <c:crossBetween val="between"/>
      </c:valAx>
    </c:plotArea>
    <c:legend>
      <c:legendPos val="b"/>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Staff</a:t>
            </a:r>
            <a:r>
              <a:rPr lang="en-GB" baseline="0"/>
              <a:t> Turnover (Leaving the Organisation)</a:t>
            </a:r>
            <a:endParaRPr lang="en-GB"/>
          </a:p>
        </c:rich>
      </c:tx>
      <c:overlay val="0"/>
    </c:title>
    <c:autoTitleDeleted val="0"/>
    <c:plotArea>
      <c:layout/>
      <c:lineChart>
        <c:grouping val="standard"/>
        <c:varyColors val="0"/>
        <c:ser>
          <c:idx val="0"/>
          <c:order val="0"/>
          <c:tx>
            <c:strRef>
              <c:f>'CID Coversheet (TW)'!$A$7</c:f>
              <c:strCache>
                <c:ptCount val="1"/>
                <c:pt idx="0">
                  <c:v>Staff Turnover</c:v>
                </c:pt>
              </c:strCache>
            </c:strRef>
          </c:tx>
          <c:spPr>
            <a:ln w="31750"/>
          </c:spPr>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(TW)'!$C$7:$N$7</c:f>
              <c:numCache>
                <c:formatCode>0.00%</c:formatCode>
                <c:ptCount val="12"/>
                <c:pt idx="0">
                  <c:v>2.5999999999999999E-2</c:v>
                </c:pt>
                <c:pt idx="1">
                  <c:v>2.7799999999999998E-2</c:v>
                </c:pt>
                <c:pt idx="2">
                  <c:v>1.9800000000000002E-2</c:v>
                </c:pt>
                <c:pt idx="3">
                  <c:v>6.1199999999999997E-2</c:v>
                </c:pt>
                <c:pt idx="4">
                  <c:v>2.4799999999999999E-2</c:v>
                </c:pt>
                <c:pt idx="5">
                  <c:v>2.3300000000000001E-2</c:v>
                </c:pt>
                <c:pt idx="6">
                  <c:v>3.6700000000000003E-2</c:v>
                </c:pt>
                <c:pt idx="7">
                  <c:v>4.5499999999999999E-2</c:v>
                </c:pt>
                <c:pt idx="8">
                  <c:v>3.1899999999999998E-2</c:v>
                </c:pt>
                <c:pt idx="9">
                  <c:v>3.2199999999999999E-2</c:v>
                </c:pt>
                <c:pt idx="10">
                  <c:v>3.0599999999999999E-2</c:v>
                </c:pt>
                <c:pt idx="11">
                  <c:v>5.0500000000000003E-2</c:v>
                </c:pt>
              </c:numCache>
            </c:numRef>
          </c:val>
          <c:smooth val="0"/>
          <c:extLst>
            <c:ext xmlns:c16="http://schemas.microsoft.com/office/drawing/2014/chart" uri="{C3380CC4-5D6E-409C-BE32-E72D297353CC}">
              <c16:uniqueId val="{00000000-810E-4DCA-9636-962115B56ADE}"/>
            </c:ext>
          </c:extLst>
        </c:ser>
        <c:ser>
          <c:idx val="1"/>
          <c:order val="1"/>
          <c:tx>
            <c:strRef>
              <c:f>'CID Coversheet (TW)'!$B$8</c:f>
              <c:strCache>
                <c:ptCount val="1"/>
                <c:pt idx="0">
                  <c:v>Benchmark</c:v>
                </c:pt>
              </c:strCache>
            </c:strRef>
          </c:tx>
          <c:spPr>
            <a:ln w="31750">
              <a:solidFill>
                <a:srgbClr val="7030A0"/>
              </a:solidFill>
            </a:ln>
          </c:spPr>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(TW)'!$C$8:$N$8</c:f>
              <c:numCache>
                <c:formatCode>0.00%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810E-4DCA-9636-962115B56ADE}"/>
            </c:ext>
          </c:extLst>
        </c:ser>
        <c:dLbls>
          <c:showLegendKey val="0"/>
          <c:showVal val="0"/>
          <c:showCatName val="0"/>
          <c:showSerName val="0"/>
          <c:showPercent val="0"/>
          <c:showBubbleSize val="0"/>
        </c:dLbls>
        <c:smooth val="0"/>
        <c:axId val="178941440"/>
        <c:axId val="178833664"/>
      </c:lineChart>
      <c:catAx>
        <c:axId val="178941440"/>
        <c:scaling>
          <c:orientation val="minMax"/>
        </c:scaling>
        <c:delete val="0"/>
        <c:axPos val="b"/>
        <c:numFmt formatCode="General" sourceLinked="0"/>
        <c:majorTickMark val="out"/>
        <c:minorTickMark val="none"/>
        <c:tickLblPos val="nextTo"/>
        <c:crossAx val="178833664"/>
        <c:crosses val="autoZero"/>
        <c:auto val="1"/>
        <c:lblAlgn val="ctr"/>
        <c:lblOffset val="100"/>
        <c:noMultiLvlLbl val="0"/>
      </c:catAx>
      <c:valAx>
        <c:axId val="178833664"/>
        <c:scaling>
          <c:orientation val="minMax"/>
          <c:max val="0.12000000000000001"/>
          <c:min val="0"/>
        </c:scaling>
        <c:delete val="0"/>
        <c:axPos val="l"/>
        <c:majorGridlines/>
        <c:numFmt formatCode="0.00%" sourceLinked="1"/>
        <c:majorTickMark val="out"/>
        <c:minorTickMark val="none"/>
        <c:tickLblPos val="nextTo"/>
        <c:crossAx val="178941440"/>
        <c:crosses val="autoZero"/>
        <c:crossBetween val="between"/>
      </c:valAx>
    </c:plotArea>
    <c:legend>
      <c:legendPos val="b"/>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Learning From Excellence</a:t>
            </a:r>
          </a:p>
        </c:rich>
      </c:tx>
      <c:overlay val="0"/>
    </c:title>
    <c:autoTitleDeleted val="0"/>
    <c:plotArea>
      <c:layout/>
      <c:lineChart>
        <c:grouping val="standard"/>
        <c:varyColors val="0"/>
        <c:ser>
          <c:idx val="0"/>
          <c:order val="0"/>
          <c:tx>
            <c:strRef>
              <c:f>'CID Coversheet (TW)'!$B$13</c:f>
              <c:strCache>
                <c:ptCount val="1"/>
                <c:pt idx="0">
                  <c:v>Total LFE Received </c:v>
                </c:pt>
              </c:strCache>
            </c:strRef>
          </c:tx>
          <c:spPr>
            <a:ln w="31750"/>
          </c:spPr>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(TW)'!$C$13:$N$13</c:f>
              <c:numCache>
                <c:formatCode>0</c:formatCode>
                <c:ptCount val="12"/>
                <c:pt idx="0">
                  <c:v>836</c:v>
                </c:pt>
                <c:pt idx="1">
                  <c:v>800</c:v>
                </c:pt>
                <c:pt idx="2">
                  <c:v>927</c:v>
                </c:pt>
                <c:pt idx="3">
                  <c:v>711</c:v>
                </c:pt>
                <c:pt idx="4">
                  <c:v>926</c:v>
                </c:pt>
                <c:pt idx="5">
                  <c:v>877</c:v>
                </c:pt>
                <c:pt idx="6">
                  <c:v>940</c:v>
                </c:pt>
                <c:pt idx="7">
                  <c:v>1051</c:v>
                </c:pt>
                <c:pt idx="8">
                  <c:v>962</c:v>
                </c:pt>
                <c:pt idx="9">
                  <c:v>783</c:v>
                </c:pt>
                <c:pt idx="10" formatCode="General">
                  <c:v>990</c:v>
                </c:pt>
                <c:pt idx="11" formatCode="General">
                  <c:v>1001</c:v>
                </c:pt>
              </c:numCache>
            </c:numRef>
          </c:val>
          <c:smooth val="0"/>
          <c:extLst>
            <c:ext xmlns:c16="http://schemas.microsoft.com/office/drawing/2014/chart" uri="{C3380CC4-5D6E-409C-BE32-E72D297353CC}">
              <c16:uniqueId val="{00000000-81E7-4211-A6BA-1495F1F062E5}"/>
            </c:ext>
          </c:extLst>
        </c:ser>
        <c:ser>
          <c:idx val="1"/>
          <c:order val="1"/>
          <c:tx>
            <c:strRef>
              <c:f>'CID Coversheet (TW)'!$B$14</c:f>
              <c:strCache>
                <c:ptCount val="1"/>
                <c:pt idx="0">
                  <c:v>LFE's from Patients/Friends/Family</c:v>
                </c:pt>
              </c:strCache>
            </c:strRef>
          </c:tx>
          <c:spPr>
            <a:ln w="31750">
              <a:solidFill>
                <a:srgbClr val="7030A0"/>
              </a:solidFill>
            </a:ln>
          </c:spPr>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(TW)'!$C$14:$N$14</c:f>
              <c:numCache>
                <c:formatCode>0</c:formatCode>
                <c:ptCount val="12"/>
                <c:pt idx="0">
                  <c:v>225</c:v>
                </c:pt>
                <c:pt idx="1">
                  <c:v>219</c:v>
                </c:pt>
                <c:pt idx="2">
                  <c:v>249</c:v>
                </c:pt>
                <c:pt idx="3">
                  <c:v>132</c:v>
                </c:pt>
                <c:pt idx="4">
                  <c:v>192</c:v>
                </c:pt>
                <c:pt idx="5">
                  <c:v>237</c:v>
                </c:pt>
                <c:pt idx="6">
                  <c:v>160</c:v>
                </c:pt>
                <c:pt idx="7">
                  <c:v>181</c:v>
                </c:pt>
                <c:pt idx="8">
                  <c:v>194</c:v>
                </c:pt>
                <c:pt idx="9">
                  <c:v>196</c:v>
                </c:pt>
                <c:pt idx="10" formatCode="General">
                  <c:v>241</c:v>
                </c:pt>
                <c:pt idx="11" formatCode="General">
                  <c:v>222</c:v>
                </c:pt>
              </c:numCache>
            </c:numRef>
          </c:val>
          <c:smooth val="0"/>
          <c:extLst>
            <c:ext xmlns:c16="http://schemas.microsoft.com/office/drawing/2014/chart" uri="{C3380CC4-5D6E-409C-BE32-E72D297353CC}">
              <c16:uniqueId val="{00000001-81E7-4211-A6BA-1495F1F062E5}"/>
            </c:ext>
          </c:extLst>
        </c:ser>
        <c:ser>
          <c:idx val="2"/>
          <c:order val="2"/>
          <c:tx>
            <c:strRef>
              <c:f>'CID Coversheet (TW)'!$B$15</c:f>
              <c:strCache>
                <c:ptCount val="1"/>
              </c:strCache>
            </c:strRef>
          </c:tx>
          <c:marker>
            <c:symbol val="none"/>
          </c:marker>
          <c:cat>
            <c:strRef>
              <c:f>'CID Coversheet (TW)'!$C$1:$N$1</c:f>
              <c:strCache>
                <c:ptCount val="12"/>
                <c:pt idx="0">
                  <c:v>Q3. 2019.20</c:v>
                </c:pt>
                <c:pt idx="1">
                  <c:v>Q4. 2019.20</c:v>
                </c:pt>
                <c:pt idx="2">
                  <c:v>Q1. 2020.21</c:v>
                </c:pt>
                <c:pt idx="3">
                  <c:v>Q2. 2020.21</c:v>
                </c:pt>
                <c:pt idx="4">
                  <c:v>Q3. 2020.21</c:v>
                </c:pt>
                <c:pt idx="5">
                  <c:v>Q4. 2020.21</c:v>
                </c:pt>
                <c:pt idx="6">
                  <c:v>Q1. 2021.22</c:v>
                </c:pt>
                <c:pt idx="7">
                  <c:v>Q2. 2021.22</c:v>
                </c:pt>
                <c:pt idx="8">
                  <c:v>Q3. 2021.22</c:v>
                </c:pt>
                <c:pt idx="9">
                  <c:v>Q4. 2021.22</c:v>
                </c:pt>
                <c:pt idx="10">
                  <c:v>Q1. 2022.23</c:v>
                </c:pt>
                <c:pt idx="11">
                  <c:v>Q2. 2022.23</c:v>
                </c:pt>
              </c:strCache>
            </c:strRef>
          </c:cat>
          <c:val>
            <c:numRef>
              <c:f>'CID Coversheet (TW)'!$C$15:$N$15</c:f>
              <c:numCache>
                <c:formatCode>0.00%</c:formatCode>
                <c:ptCount val="12"/>
              </c:numCache>
            </c:numRef>
          </c:val>
          <c:smooth val="0"/>
          <c:extLst>
            <c:ext xmlns:c16="http://schemas.microsoft.com/office/drawing/2014/chart" uri="{C3380CC4-5D6E-409C-BE32-E72D297353CC}">
              <c16:uniqueId val="{00000001-BD11-4145-965E-F83491ED5D1A}"/>
            </c:ext>
          </c:extLst>
        </c:ser>
        <c:dLbls>
          <c:showLegendKey val="0"/>
          <c:showVal val="0"/>
          <c:showCatName val="0"/>
          <c:showSerName val="0"/>
          <c:showPercent val="0"/>
          <c:showBubbleSize val="0"/>
        </c:dLbls>
        <c:smooth val="0"/>
        <c:axId val="200262144"/>
        <c:axId val="178835968"/>
      </c:lineChart>
      <c:catAx>
        <c:axId val="200262144"/>
        <c:scaling>
          <c:orientation val="minMax"/>
        </c:scaling>
        <c:delete val="0"/>
        <c:axPos val="b"/>
        <c:numFmt formatCode="General" sourceLinked="1"/>
        <c:majorTickMark val="out"/>
        <c:minorTickMark val="none"/>
        <c:tickLblPos val="nextTo"/>
        <c:crossAx val="178835968"/>
        <c:crosses val="autoZero"/>
        <c:auto val="1"/>
        <c:lblAlgn val="ctr"/>
        <c:lblOffset val="100"/>
        <c:noMultiLvlLbl val="0"/>
      </c:catAx>
      <c:valAx>
        <c:axId val="178835968"/>
        <c:scaling>
          <c:orientation val="minMax"/>
          <c:max val="1100"/>
          <c:min val="0"/>
        </c:scaling>
        <c:delete val="0"/>
        <c:axPos val="l"/>
        <c:majorGridlines/>
        <c:numFmt formatCode="0" sourceLinked="1"/>
        <c:majorTickMark val="out"/>
        <c:minorTickMark val="none"/>
        <c:tickLblPos val="nextTo"/>
        <c:crossAx val="200262144"/>
        <c:crosses val="autoZero"/>
        <c:crossBetween val="between"/>
        <c:majorUnit val="100"/>
      </c:valAx>
    </c:plotArea>
    <c:legend>
      <c:legendPos val="b"/>
      <c:legendEntry>
        <c:idx val="2"/>
        <c:delete val="1"/>
      </c:legendEntry>
      <c:overlay val="0"/>
    </c:legend>
    <c:plotVisOnly val="0"/>
    <c:dispBlanksAs val="span"/>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Engagement - (Advocacy, Involvement &amp; Motivation)</a:t>
            </a:r>
            <a:br>
              <a:rPr lang="en-GB"/>
            </a:br>
            <a:br>
              <a:rPr lang="en-GB"/>
            </a:br>
            <a:endParaRPr lang="en-GB" b="1" u="sng">
              <a:solidFill>
                <a:srgbClr val="FF0000"/>
              </a:solidFill>
            </a:endParaRPr>
          </a:p>
        </c:rich>
      </c:tx>
      <c:overlay val="0"/>
    </c:title>
    <c:autoTitleDeleted val="0"/>
    <c:plotArea>
      <c:layout>
        <c:manualLayout>
          <c:layoutTarget val="inner"/>
          <c:xMode val="edge"/>
          <c:yMode val="edge"/>
          <c:x val="4.9695658058075728E-2"/>
          <c:y val="0.25998337280246137"/>
          <c:w val="0.93399165589176969"/>
          <c:h val="0.57698204346272086"/>
        </c:manualLayout>
      </c:layout>
      <c:barChart>
        <c:barDir val="col"/>
        <c:grouping val="clustered"/>
        <c:varyColors val="0"/>
        <c:ser>
          <c:idx val="1"/>
          <c:order val="1"/>
          <c:tx>
            <c:strRef>
              <c:f>'CID Coversheet (TW)'!$B$10</c:f>
              <c:strCache>
                <c:ptCount val="1"/>
                <c:pt idx="0">
                  <c:v>Advocacy</c:v>
                </c:pt>
              </c:strCache>
            </c:strRef>
          </c:tx>
          <c:spPr>
            <a:solidFill>
              <a:schemeClr val="accent6"/>
            </a:solidFill>
            <a:ln>
              <a:solidFill>
                <a:srgbClr val="FFC000"/>
              </a:solidFill>
            </a:ln>
          </c:spPr>
          <c:invertIfNegative val="0"/>
          <c:cat>
            <c:strRef>
              <c:f>'CID Coversheet (TW)'!$J$1:$N$1</c:f>
              <c:strCache>
                <c:ptCount val="5"/>
                <c:pt idx="0">
                  <c:v>Q2. 2021.22</c:v>
                </c:pt>
                <c:pt idx="1">
                  <c:v>Q3. 2021.22</c:v>
                </c:pt>
                <c:pt idx="2">
                  <c:v>Q4. 2021.22</c:v>
                </c:pt>
                <c:pt idx="3">
                  <c:v>Q1. 2022.23</c:v>
                </c:pt>
                <c:pt idx="4">
                  <c:v>Q2. 2022.23</c:v>
                </c:pt>
              </c:strCache>
            </c:strRef>
          </c:cat>
          <c:val>
            <c:numRef>
              <c:f>'CID Coversheet (TW)'!$J$10:$N$10</c:f>
              <c:numCache>
                <c:formatCode>0.0</c:formatCode>
                <c:ptCount val="5"/>
                <c:pt idx="0">
                  <c:v>7</c:v>
                </c:pt>
                <c:pt idx="1">
                  <c:v>6.6</c:v>
                </c:pt>
                <c:pt idx="2">
                  <c:v>6.7</c:v>
                </c:pt>
                <c:pt idx="3" formatCode="General">
                  <c:v>6.7</c:v>
                </c:pt>
                <c:pt idx="4" formatCode="General">
                  <c:v>6.4</c:v>
                </c:pt>
              </c:numCache>
            </c:numRef>
          </c:val>
          <c:extLst>
            <c:ext xmlns:c16="http://schemas.microsoft.com/office/drawing/2014/chart" uri="{C3380CC4-5D6E-409C-BE32-E72D297353CC}">
              <c16:uniqueId val="{00000000-7664-4669-AF52-8F3E40833359}"/>
            </c:ext>
          </c:extLst>
        </c:ser>
        <c:ser>
          <c:idx val="2"/>
          <c:order val="2"/>
          <c:tx>
            <c:strRef>
              <c:f>'CID Coversheet (TW)'!$B$11</c:f>
              <c:strCache>
                <c:ptCount val="1"/>
                <c:pt idx="0">
                  <c:v>Involvement</c:v>
                </c:pt>
              </c:strCache>
            </c:strRef>
          </c:tx>
          <c:spPr>
            <a:solidFill>
              <a:schemeClr val="bg1">
                <a:lumMod val="50000"/>
              </a:schemeClr>
            </a:solidFill>
          </c:spPr>
          <c:invertIfNegative val="0"/>
          <c:cat>
            <c:strRef>
              <c:f>'CID Coversheet (TW)'!$J$1:$N$1</c:f>
              <c:strCache>
                <c:ptCount val="5"/>
                <c:pt idx="0">
                  <c:v>Q2. 2021.22</c:v>
                </c:pt>
                <c:pt idx="1">
                  <c:v>Q3. 2021.22</c:v>
                </c:pt>
                <c:pt idx="2">
                  <c:v>Q4. 2021.22</c:v>
                </c:pt>
                <c:pt idx="3">
                  <c:v>Q1. 2022.23</c:v>
                </c:pt>
                <c:pt idx="4">
                  <c:v>Q2. 2022.23</c:v>
                </c:pt>
              </c:strCache>
            </c:strRef>
          </c:cat>
          <c:val>
            <c:numRef>
              <c:f>'CID Coversheet (TW)'!$J$11:$N$11</c:f>
              <c:numCache>
                <c:formatCode>0.0</c:formatCode>
                <c:ptCount val="5"/>
                <c:pt idx="0">
                  <c:v>6.3</c:v>
                </c:pt>
                <c:pt idx="1">
                  <c:v>6.6</c:v>
                </c:pt>
                <c:pt idx="2">
                  <c:v>6.2</c:v>
                </c:pt>
                <c:pt idx="3" formatCode="General">
                  <c:v>6.6</c:v>
                </c:pt>
                <c:pt idx="4" formatCode="General">
                  <c:v>6.3</c:v>
                </c:pt>
              </c:numCache>
            </c:numRef>
          </c:val>
          <c:extLst>
            <c:ext xmlns:c16="http://schemas.microsoft.com/office/drawing/2014/chart" uri="{C3380CC4-5D6E-409C-BE32-E72D297353CC}">
              <c16:uniqueId val="{00000001-7664-4669-AF52-8F3E40833359}"/>
            </c:ext>
          </c:extLst>
        </c:ser>
        <c:ser>
          <c:idx val="3"/>
          <c:order val="3"/>
          <c:tx>
            <c:strRef>
              <c:f>'CID Coversheet (TW)'!$B$12</c:f>
              <c:strCache>
                <c:ptCount val="1"/>
                <c:pt idx="0">
                  <c:v>Motivation</c:v>
                </c:pt>
              </c:strCache>
            </c:strRef>
          </c:tx>
          <c:spPr>
            <a:solidFill>
              <a:schemeClr val="accent1"/>
            </a:solidFill>
          </c:spPr>
          <c:invertIfNegative val="0"/>
          <c:cat>
            <c:strRef>
              <c:f>'CID Coversheet (TW)'!$J$1:$N$1</c:f>
              <c:strCache>
                <c:ptCount val="5"/>
                <c:pt idx="0">
                  <c:v>Q2. 2021.22</c:v>
                </c:pt>
                <c:pt idx="1">
                  <c:v>Q3. 2021.22</c:v>
                </c:pt>
                <c:pt idx="2">
                  <c:v>Q4. 2021.22</c:v>
                </c:pt>
                <c:pt idx="3">
                  <c:v>Q1. 2022.23</c:v>
                </c:pt>
                <c:pt idx="4">
                  <c:v>Q2. 2022.23</c:v>
                </c:pt>
              </c:strCache>
            </c:strRef>
          </c:cat>
          <c:val>
            <c:numRef>
              <c:f>'CID Coversheet (TW)'!$J$12:$N$12</c:f>
              <c:numCache>
                <c:formatCode>0.0</c:formatCode>
                <c:ptCount val="5"/>
                <c:pt idx="0">
                  <c:v>6.7</c:v>
                </c:pt>
                <c:pt idx="1">
                  <c:v>6.8</c:v>
                </c:pt>
                <c:pt idx="2">
                  <c:v>6.7</c:v>
                </c:pt>
                <c:pt idx="3">
                  <c:v>7</c:v>
                </c:pt>
                <c:pt idx="4">
                  <c:v>6.8</c:v>
                </c:pt>
              </c:numCache>
            </c:numRef>
          </c:val>
          <c:extLst>
            <c:ext xmlns:c16="http://schemas.microsoft.com/office/drawing/2014/chart" uri="{C3380CC4-5D6E-409C-BE32-E72D297353CC}">
              <c16:uniqueId val="{00000002-7664-4669-AF52-8F3E40833359}"/>
            </c:ext>
          </c:extLst>
        </c:ser>
        <c:dLbls>
          <c:showLegendKey val="0"/>
          <c:showVal val="0"/>
          <c:showCatName val="0"/>
          <c:showSerName val="0"/>
          <c:showPercent val="0"/>
          <c:showBubbleSize val="0"/>
        </c:dLbls>
        <c:gapWidth val="150"/>
        <c:axId val="200263168"/>
        <c:axId val="178838272"/>
      </c:barChart>
      <c:lineChart>
        <c:grouping val="standard"/>
        <c:varyColors val="0"/>
        <c:ser>
          <c:idx val="0"/>
          <c:order val="0"/>
          <c:tx>
            <c:strRef>
              <c:f>'CID Coversheet (TW)'!$B$9</c:f>
              <c:strCache>
                <c:ptCount val="1"/>
                <c:pt idx="0">
                  <c:v>Engagement</c:v>
                </c:pt>
              </c:strCache>
            </c:strRef>
          </c:tx>
          <c:spPr>
            <a:ln w="31750">
              <a:solidFill>
                <a:srgbClr val="7030A0"/>
              </a:solidFill>
            </a:ln>
          </c:spPr>
          <c:marker>
            <c:spPr>
              <a:solidFill>
                <a:srgbClr val="7030A0"/>
              </a:solidFill>
              <a:ln>
                <a:solidFill>
                  <a:srgbClr val="7030A0"/>
                </a:solidFill>
              </a:ln>
            </c:spPr>
          </c:marker>
          <c:cat>
            <c:strRef>
              <c:f>'CID Coversheet (TW)'!$J$1:$N$1</c:f>
              <c:strCache>
                <c:ptCount val="5"/>
                <c:pt idx="0">
                  <c:v>Q2. 2021.22</c:v>
                </c:pt>
                <c:pt idx="1">
                  <c:v>Q3. 2021.22</c:v>
                </c:pt>
                <c:pt idx="2">
                  <c:v>Q4. 2021.22</c:v>
                </c:pt>
                <c:pt idx="3">
                  <c:v>Q1. 2022.23</c:v>
                </c:pt>
                <c:pt idx="4">
                  <c:v>Q2. 2022.23</c:v>
                </c:pt>
              </c:strCache>
            </c:strRef>
          </c:cat>
          <c:val>
            <c:numRef>
              <c:f>'CID Coversheet (TW)'!$J$9:$N$9</c:f>
              <c:numCache>
                <c:formatCode>0.0</c:formatCode>
                <c:ptCount val="5"/>
                <c:pt idx="0">
                  <c:v>6.7</c:v>
                </c:pt>
                <c:pt idx="1">
                  <c:v>6.7</c:v>
                </c:pt>
                <c:pt idx="2">
                  <c:v>6.5</c:v>
                </c:pt>
                <c:pt idx="3" formatCode="General">
                  <c:v>6.7</c:v>
                </c:pt>
                <c:pt idx="4" formatCode="General">
                  <c:v>6.5</c:v>
                </c:pt>
              </c:numCache>
            </c:numRef>
          </c:val>
          <c:smooth val="0"/>
          <c:extLst>
            <c:ext xmlns:c16="http://schemas.microsoft.com/office/drawing/2014/chart" uri="{C3380CC4-5D6E-409C-BE32-E72D297353CC}">
              <c16:uniqueId val="{00000003-7664-4669-AF52-8F3E40833359}"/>
            </c:ext>
          </c:extLst>
        </c:ser>
        <c:dLbls>
          <c:showLegendKey val="0"/>
          <c:showVal val="0"/>
          <c:showCatName val="0"/>
          <c:showSerName val="0"/>
          <c:showPercent val="0"/>
          <c:showBubbleSize val="0"/>
        </c:dLbls>
        <c:marker val="1"/>
        <c:smooth val="0"/>
        <c:axId val="200263168"/>
        <c:axId val="178838272"/>
      </c:lineChart>
      <c:catAx>
        <c:axId val="200263168"/>
        <c:scaling>
          <c:orientation val="minMax"/>
        </c:scaling>
        <c:delete val="0"/>
        <c:axPos val="b"/>
        <c:numFmt formatCode="General" sourceLinked="0"/>
        <c:majorTickMark val="out"/>
        <c:minorTickMark val="none"/>
        <c:tickLblPos val="nextTo"/>
        <c:crossAx val="178838272"/>
        <c:crosses val="autoZero"/>
        <c:auto val="1"/>
        <c:lblAlgn val="ctr"/>
        <c:lblOffset val="100"/>
        <c:noMultiLvlLbl val="0"/>
      </c:catAx>
      <c:valAx>
        <c:axId val="178838272"/>
        <c:scaling>
          <c:orientation val="minMax"/>
          <c:max val="10"/>
          <c:min val="0"/>
        </c:scaling>
        <c:delete val="0"/>
        <c:axPos val="l"/>
        <c:majorGridlines/>
        <c:numFmt formatCode="0.0" sourceLinked="1"/>
        <c:majorTickMark val="out"/>
        <c:minorTickMark val="none"/>
        <c:tickLblPos val="nextTo"/>
        <c:crossAx val="200263168"/>
        <c:crosses val="autoZero"/>
        <c:crossBetween val="between"/>
      </c:valAx>
    </c:plotArea>
    <c:legend>
      <c:legendPos val="b"/>
      <c:overlay val="0"/>
    </c:legend>
    <c:plotVisOnly val="0"/>
    <c:dispBlanksAs val="span"/>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'Medicine Coversheet (CG)'!$A$2</c:f>
              <c:strCache>
                <c:ptCount val="1"/>
                <c:pt idx="0">
                  <c:v>Managers Accountability =&gt;90%</c:v>
                </c:pt>
              </c:strCache>
            </c:strRef>
          </c:tx>
          <c:spPr>
            <a:ln>
              <a:solidFill>
                <a:schemeClr val="accent1"/>
              </a:solidFill>
            </a:ln>
          </c:spPr>
          <c:marker>
            <c:symbol val="none"/>
          </c:marker>
          <c:cat>
            <c:strRef>
              <c:f>'Medicine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'Medicine Coversheet (CG)'!$D$2:$M$2</c:f>
              <c:numCache>
                <c:formatCode>General</c:formatCode>
                <c:ptCount val="10"/>
                <c:pt idx="0">
                  <c:v>0</c:v>
                </c:pt>
                <c:pt idx="1">
                  <c:v>2</c:v>
                </c:pt>
                <c:pt idx="2">
                  <c:v>3</c:v>
                </c:pt>
                <c:pt idx="3">
                  <c:v>1</c:v>
                </c:pt>
                <c:pt idx="4">
                  <c:v>0</c:v>
                </c:pt>
                <c:pt idx="5">
                  <c:v>2</c:v>
                </c:pt>
                <c:pt idx="6">
                  <c:v>2</c:v>
                </c:pt>
                <c:pt idx="7">
                  <c:v>0</c:v>
                </c:pt>
                <c:pt idx="8">
                  <c:v>0</c:v>
                </c:pt>
                <c:pt idx="9">
                  <c:v>1</c:v>
                </c:pt>
              </c:numCache>
            </c:numRef>
          </c:val>
          <c:smooth val="0"/>
          <c:extLst>
            <c:ext xmlns:c16="http://schemas.microsoft.com/office/drawing/2014/chart" uri="{C3380CC4-5D6E-409C-BE32-E72D297353CC}">
              <c16:uniqueId val="{00000000-0026-4514-8239-ED89079439B3}"/>
            </c:ext>
          </c:extLst>
        </c:ser>
        <c:dLbls>
          <c:showLegendKey val="0"/>
          <c:showVal val="0"/>
          <c:showCatName val="0"/>
          <c:showSerName val="0"/>
          <c:showPercent val="0"/>
          <c:showBubbleSize val="0"/>
        </c:dLbls>
        <c:smooth val="0"/>
        <c:axId val="200446464"/>
        <c:axId val="200492160"/>
      </c:lineChart>
      <c:catAx>
        <c:axId val="200446464"/>
        <c:scaling>
          <c:orientation val="minMax"/>
        </c:scaling>
        <c:delete val="0"/>
        <c:axPos val="b"/>
        <c:numFmt formatCode="General" sourceLinked="0"/>
        <c:majorTickMark val="out"/>
        <c:minorTickMark val="none"/>
        <c:tickLblPos val="nextTo"/>
        <c:crossAx val="200492160"/>
        <c:crosses val="autoZero"/>
        <c:auto val="1"/>
        <c:lblAlgn val="ctr"/>
        <c:lblOffset val="100"/>
        <c:noMultiLvlLbl val="0"/>
      </c:catAx>
      <c:valAx>
        <c:axId val="200492160"/>
        <c:scaling>
          <c:orientation val="minMax"/>
          <c:max val="14"/>
        </c:scaling>
        <c:delete val="0"/>
        <c:axPos val="l"/>
        <c:majorGridlines/>
        <c:numFmt formatCode="General" sourceLinked="1"/>
        <c:majorTickMark val="out"/>
        <c:minorTickMark val="none"/>
        <c:tickLblPos val="nextTo"/>
        <c:crossAx val="200446464"/>
        <c:crosses val="autoZero"/>
        <c:crossBetween val="between"/>
        <c:majorUnit val="2"/>
      </c:valAx>
    </c:plotArea>
    <c:plotVisOnly val="0"/>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Staff Sickness =&lt;3.98%</a:t>
            </a:r>
          </a:p>
        </c:rich>
      </c:tx>
      <c:overlay val="0"/>
    </c:title>
    <c:autoTitleDeleted val="0"/>
    <c:plotArea>
      <c:layout/>
      <c:lineChart>
        <c:grouping val="standard"/>
        <c:varyColors val="0"/>
        <c:ser>
          <c:idx val="0"/>
          <c:order val="0"/>
          <c:tx>
            <c:strRef>
              <c:f>'Medicine Coversheet (CG)'!$A$3</c:f>
              <c:strCache>
                <c:ptCount val="1"/>
                <c:pt idx="0">
                  <c:v>Staff Sickness =&lt;3.98%</c:v>
                </c:pt>
              </c:strCache>
            </c:strRef>
          </c:tx>
          <c:marker>
            <c:symbol val="none"/>
          </c:marker>
          <c:cat>
            <c:strRef>
              <c:f>'Medicine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'Medicine Coversheet (CG)'!$D$3:$M$3</c:f>
              <c:numCache>
                <c:formatCode>General</c:formatCode>
                <c:ptCount val="10"/>
                <c:pt idx="0">
                  <c:v>7</c:v>
                </c:pt>
                <c:pt idx="1">
                  <c:v>6</c:v>
                </c:pt>
                <c:pt idx="2">
                  <c:v>4</c:v>
                </c:pt>
                <c:pt idx="3">
                  <c:v>5</c:v>
                </c:pt>
                <c:pt idx="4">
                  <c:v>5</c:v>
                </c:pt>
                <c:pt idx="5">
                  <c:v>5</c:v>
                </c:pt>
                <c:pt idx="6">
                  <c:v>1</c:v>
                </c:pt>
                <c:pt idx="7">
                  <c:v>0</c:v>
                </c:pt>
                <c:pt idx="8">
                  <c:v>2</c:v>
                </c:pt>
                <c:pt idx="9">
                  <c:v>1</c:v>
                </c:pt>
              </c:numCache>
            </c:numRef>
          </c:val>
          <c:smooth val="0"/>
          <c:extLst>
            <c:ext xmlns:c16="http://schemas.microsoft.com/office/drawing/2014/chart" uri="{C3380CC4-5D6E-409C-BE32-E72D297353CC}">
              <c16:uniqueId val="{00000000-F4EE-46F7-BF8D-DB72930F13E6}"/>
            </c:ext>
          </c:extLst>
        </c:ser>
        <c:dLbls>
          <c:showLegendKey val="0"/>
          <c:showVal val="0"/>
          <c:showCatName val="0"/>
          <c:showSerName val="0"/>
          <c:showPercent val="0"/>
          <c:showBubbleSize val="0"/>
        </c:dLbls>
        <c:smooth val="0"/>
        <c:axId val="200448000"/>
        <c:axId val="200493888"/>
      </c:lineChart>
      <c:catAx>
        <c:axId val="200448000"/>
        <c:scaling>
          <c:orientation val="minMax"/>
        </c:scaling>
        <c:delete val="0"/>
        <c:axPos val="b"/>
        <c:numFmt formatCode="General" sourceLinked="0"/>
        <c:majorTickMark val="out"/>
        <c:minorTickMark val="none"/>
        <c:tickLblPos val="nextTo"/>
        <c:crossAx val="200493888"/>
        <c:crosses val="autoZero"/>
        <c:auto val="1"/>
        <c:lblAlgn val="ctr"/>
        <c:lblOffset val="100"/>
        <c:noMultiLvlLbl val="0"/>
      </c:catAx>
      <c:valAx>
        <c:axId val="200493888"/>
        <c:scaling>
          <c:orientation val="minMax"/>
          <c:max val="14"/>
        </c:scaling>
        <c:delete val="0"/>
        <c:axPos val="l"/>
        <c:majorGridlines/>
        <c:numFmt formatCode="General" sourceLinked="1"/>
        <c:majorTickMark val="out"/>
        <c:minorTickMark val="none"/>
        <c:tickLblPos val="nextTo"/>
        <c:crossAx val="200448000"/>
        <c:crosses val="autoZero"/>
        <c:crossBetween val="between"/>
        <c:majorUnit val="2"/>
      </c:valAx>
    </c:plotArea>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'Medicine Coversheet (CG)'!$A$4</c:f>
              <c:strCache>
                <c:ptCount val="1"/>
                <c:pt idx="0">
                  <c:v>Staff Turnover &lt;10%</c:v>
                </c:pt>
              </c:strCache>
            </c:strRef>
          </c:tx>
          <c:marker>
            <c:symbol val="none"/>
          </c:marker>
          <c:cat>
            <c:strRef>
              <c:f>'Medicine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'Medicine Coversheet (CG)'!$D$4:$M$4</c:f>
              <c:numCache>
                <c:formatCode>General</c:formatCode>
                <c:ptCount val="10"/>
                <c:pt idx="0">
                  <c:v>14</c:v>
                </c:pt>
                <c:pt idx="1">
                  <c:v>14</c:v>
                </c:pt>
                <c:pt idx="2">
                  <c:v>14</c:v>
                </c:pt>
                <c:pt idx="3">
                  <c:v>14</c:v>
                </c:pt>
                <c:pt idx="4">
                  <c:v>14</c:v>
                </c:pt>
                <c:pt idx="5">
                  <c:v>14</c:v>
                </c:pt>
                <c:pt idx="6">
                  <c:v>14</c:v>
                </c:pt>
                <c:pt idx="7">
                  <c:v>14</c:v>
                </c:pt>
                <c:pt idx="8">
                  <c:v>14</c:v>
                </c:pt>
                <c:pt idx="9">
                  <c:v>14</c:v>
                </c:pt>
              </c:numCache>
            </c:numRef>
          </c:val>
          <c:smooth val="0"/>
          <c:extLst>
            <c:ext xmlns:c16="http://schemas.microsoft.com/office/drawing/2014/chart" uri="{C3380CC4-5D6E-409C-BE32-E72D297353CC}">
              <c16:uniqueId val="{00000000-84DF-4FF0-80FC-582B09C9AE16}"/>
            </c:ext>
          </c:extLst>
        </c:ser>
        <c:dLbls>
          <c:showLegendKey val="0"/>
          <c:showVal val="0"/>
          <c:showCatName val="0"/>
          <c:showSerName val="0"/>
          <c:showPercent val="0"/>
          <c:showBubbleSize val="0"/>
        </c:dLbls>
        <c:smooth val="0"/>
        <c:axId val="199495680"/>
        <c:axId val="200495616"/>
      </c:lineChart>
      <c:catAx>
        <c:axId val="199495680"/>
        <c:scaling>
          <c:orientation val="minMax"/>
        </c:scaling>
        <c:delete val="0"/>
        <c:axPos val="b"/>
        <c:numFmt formatCode="General" sourceLinked="0"/>
        <c:majorTickMark val="out"/>
        <c:minorTickMark val="none"/>
        <c:tickLblPos val="nextTo"/>
        <c:crossAx val="200495616"/>
        <c:crosses val="autoZero"/>
        <c:auto val="1"/>
        <c:lblAlgn val="ctr"/>
        <c:lblOffset val="100"/>
        <c:noMultiLvlLbl val="0"/>
      </c:catAx>
      <c:valAx>
        <c:axId val="200495616"/>
        <c:scaling>
          <c:orientation val="minMax"/>
          <c:max val="15"/>
          <c:min val="0"/>
        </c:scaling>
        <c:delete val="0"/>
        <c:axPos val="l"/>
        <c:majorGridlines/>
        <c:numFmt formatCode="General" sourceLinked="1"/>
        <c:majorTickMark val="out"/>
        <c:minorTickMark val="none"/>
        <c:tickLblPos val="nextTo"/>
        <c:crossAx val="199495680"/>
        <c:crosses val="autoZero"/>
        <c:crossBetween val="between"/>
        <c:majorUnit val="2"/>
      </c:valAx>
    </c:plotArea>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'Medicine Coversheet (CG)'!$A$5</c:f>
              <c:strCache>
                <c:ptCount val="1"/>
                <c:pt idx="0">
                  <c:v>Recommend as a place to work =&gt;67% </c:v>
                </c:pt>
              </c:strCache>
            </c:strRef>
          </c:tx>
          <c:marker>
            <c:symbol val="none"/>
          </c:marker>
          <c:cat>
            <c:strRef>
              <c:f>'Medicine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'Medicine Coversheet (CG)'!$D$5:$M$5</c:f>
              <c:numCache>
                <c:formatCode>0.00%</c:formatCode>
                <c:ptCount val="10"/>
                <c:pt idx="0">
                  <c:v>0.42857142857142855</c:v>
                </c:pt>
                <c:pt idx="1">
                  <c:v>0.38461538461538464</c:v>
                </c:pt>
                <c:pt idx="2">
                  <c:v>0.61538461538461542</c:v>
                </c:pt>
                <c:pt idx="3">
                  <c:v>0.76923076923076927</c:v>
                </c:pt>
                <c:pt idx="4">
                  <c:v>0.5</c:v>
                </c:pt>
                <c:pt idx="5">
                  <c:v>0.55555555555555558</c:v>
                </c:pt>
                <c:pt idx="6">
                  <c:v>0</c:v>
                </c:pt>
                <c:pt idx="7">
                  <c:v>#N/A</c:v>
                </c:pt>
                <c:pt idx="8">
                  <c:v>0.15384615384615385</c:v>
                </c:pt>
                <c:pt idx="9">
                  <c:v>7.6923076923076927E-2</c:v>
                </c:pt>
              </c:numCache>
            </c:numRef>
          </c:val>
          <c:smooth val="0"/>
          <c:extLst>
            <c:ext xmlns:c16="http://schemas.microsoft.com/office/drawing/2014/chart" uri="{C3380CC4-5D6E-409C-BE32-E72D297353CC}">
              <c16:uniqueId val="{00000000-EADE-43DC-ABFB-A98D09C4FC49}"/>
            </c:ext>
          </c:extLst>
        </c:ser>
        <c:dLbls>
          <c:showLegendKey val="0"/>
          <c:showVal val="0"/>
          <c:showCatName val="0"/>
          <c:showSerName val="0"/>
          <c:showPercent val="0"/>
          <c:showBubbleSize val="0"/>
        </c:dLbls>
        <c:smooth val="0"/>
        <c:axId val="199496704"/>
        <c:axId val="200497344"/>
      </c:lineChart>
      <c:catAx>
        <c:axId val="199496704"/>
        <c:scaling>
          <c:orientation val="minMax"/>
        </c:scaling>
        <c:delete val="0"/>
        <c:axPos val="b"/>
        <c:numFmt formatCode="General" sourceLinked="0"/>
        <c:majorTickMark val="out"/>
        <c:minorTickMark val="none"/>
        <c:tickLblPos val="nextTo"/>
        <c:crossAx val="200497344"/>
        <c:crosses val="autoZero"/>
        <c:auto val="1"/>
        <c:lblAlgn val="ctr"/>
        <c:lblOffset val="100"/>
        <c:noMultiLvlLbl val="0"/>
      </c:catAx>
      <c:valAx>
        <c:axId val="200497344"/>
        <c:scaling>
          <c:orientation val="minMax"/>
          <c:max val="1"/>
          <c:min val="0"/>
        </c:scaling>
        <c:delete val="0"/>
        <c:axPos val="l"/>
        <c:majorGridlines/>
        <c:numFmt formatCode="0.00%" sourceLinked="1"/>
        <c:majorTickMark val="out"/>
        <c:minorTickMark val="none"/>
        <c:tickLblPos val="nextTo"/>
        <c:crossAx val="199496704"/>
        <c:crosses val="autoZero"/>
        <c:crossBetween val="between"/>
        <c:majorUnit val="0.2"/>
      </c:valAx>
    </c:plotArea>
    <c:plotVisOnly val="0"/>
    <c:dispBlanksAs val="span"/>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Recommend as a place to be treated =&gt;67%</a:t>
            </a:r>
          </a:p>
        </c:rich>
      </c:tx>
      <c:overlay val="0"/>
    </c:title>
    <c:autoTitleDeleted val="0"/>
    <c:plotArea>
      <c:layout/>
      <c:lineChart>
        <c:grouping val="standard"/>
        <c:varyColors val="0"/>
        <c:ser>
          <c:idx val="0"/>
          <c:order val="0"/>
          <c:tx>
            <c:strRef>
              <c:f>'Medicine Coversheet (CG)'!$A$6</c:f>
              <c:strCache>
                <c:ptCount val="1"/>
                <c:pt idx="0">
                  <c:v>Recommend as a place to be treated =67%</c:v>
                </c:pt>
              </c:strCache>
            </c:strRef>
          </c:tx>
          <c:marker>
            <c:symbol val="none"/>
          </c:marker>
          <c:cat>
            <c:strRef>
              <c:f>'Medicine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'Medicine Coversheet (CG)'!$D$6:$M$6</c:f>
              <c:numCache>
                <c:formatCode>0.00%</c:formatCode>
                <c:ptCount val="10"/>
                <c:pt idx="0">
                  <c:v>1</c:v>
                </c:pt>
                <c:pt idx="1">
                  <c:v>0.69230769230769229</c:v>
                </c:pt>
                <c:pt idx="2">
                  <c:v>0.92307692307692313</c:v>
                </c:pt>
                <c:pt idx="3">
                  <c:v>0.84615384615384615</c:v>
                </c:pt>
                <c:pt idx="4">
                  <c:v>0.6</c:v>
                </c:pt>
                <c:pt idx="5">
                  <c:v>0.55555555555555558</c:v>
                </c:pt>
                <c:pt idx="6">
                  <c:v>7.1428571428571425E-2</c:v>
                </c:pt>
                <c:pt idx="7">
                  <c:v>#N/A</c:v>
                </c:pt>
                <c:pt idx="8">
                  <c:v>0.15384615384615385</c:v>
                </c:pt>
                <c:pt idx="9">
                  <c:v>0.30769230769230771</c:v>
                </c:pt>
              </c:numCache>
            </c:numRef>
          </c:val>
          <c:smooth val="0"/>
          <c:extLst>
            <c:ext xmlns:c16="http://schemas.microsoft.com/office/drawing/2014/chart" uri="{C3380CC4-5D6E-409C-BE32-E72D297353CC}">
              <c16:uniqueId val="{00000000-1EA7-4CAC-AAEE-DEBDC3130906}"/>
            </c:ext>
          </c:extLst>
        </c:ser>
        <c:dLbls>
          <c:showLegendKey val="0"/>
          <c:showVal val="0"/>
          <c:showCatName val="0"/>
          <c:showSerName val="0"/>
          <c:showPercent val="0"/>
          <c:showBubbleSize val="0"/>
        </c:dLbls>
        <c:smooth val="0"/>
        <c:axId val="199497216"/>
        <c:axId val="199376896"/>
      </c:lineChart>
      <c:catAx>
        <c:axId val="199497216"/>
        <c:scaling>
          <c:orientation val="minMax"/>
        </c:scaling>
        <c:delete val="0"/>
        <c:axPos val="b"/>
        <c:numFmt formatCode="General" sourceLinked="1"/>
        <c:majorTickMark val="out"/>
        <c:minorTickMark val="none"/>
        <c:tickLblPos val="nextTo"/>
        <c:crossAx val="199376896"/>
        <c:crosses val="autoZero"/>
        <c:auto val="1"/>
        <c:lblAlgn val="ctr"/>
        <c:lblOffset val="100"/>
        <c:noMultiLvlLbl val="0"/>
      </c:catAx>
      <c:valAx>
        <c:axId val="199376896"/>
        <c:scaling>
          <c:orientation val="minMax"/>
          <c:max val="1"/>
          <c:min val="0"/>
        </c:scaling>
        <c:delete val="0"/>
        <c:axPos val="l"/>
        <c:majorGridlines/>
        <c:numFmt formatCode="0.00%" sourceLinked="1"/>
        <c:majorTickMark val="out"/>
        <c:minorTickMark val="none"/>
        <c:tickLblPos val="nextTo"/>
        <c:crossAx val="199497216"/>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Local PULSE questions average</a:t>
            </a:r>
          </a:p>
          <a:p>
            <a:pPr>
              <a:defRPr sz="1200"/>
            </a:pPr>
            <a:r>
              <a:rPr lang="en-US"/>
              <a:t> (exclude ‘recommenders’) =&gt;67% </a:t>
            </a:r>
          </a:p>
        </c:rich>
      </c:tx>
      <c:overlay val="0"/>
    </c:title>
    <c:autoTitleDeleted val="0"/>
    <c:plotArea>
      <c:layout/>
      <c:lineChart>
        <c:grouping val="standard"/>
        <c:varyColors val="0"/>
        <c:ser>
          <c:idx val="0"/>
          <c:order val="0"/>
          <c:tx>
            <c:strRef>
              <c:f>'Medicine Coversheet (CG)'!$A$7</c:f>
              <c:strCache>
                <c:ptCount val="1"/>
                <c:pt idx="0">
                  <c:v>Local PULSE questions (exclude ‘recommenders’) =&gt;67% </c:v>
                </c:pt>
              </c:strCache>
            </c:strRef>
          </c:tx>
          <c:spPr>
            <a:ln>
              <a:solidFill>
                <a:schemeClr val="accent1"/>
              </a:solidFill>
            </a:ln>
          </c:spPr>
          <c:marker>
            <c:symbol val="none"/>
          </c:marker>
          <c:cat>
            <c:strRef>
              <c:f>'Medicine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'Medicine Coversheet (CG)'!$D$7:$M$7</c:f>
              <c:numCache>
                <c:formatCode>0.00%</c:formatCode>
                <c:ptCount val="10"/>
                <c:pt idx="0">
                  <c:v>0.2857142857142857</c:v>
                </c:pt>
                <c:pt idx="1">
                  <c:v>0.23076923076923078</c:v>
                </c:pt>
                <c:pt idx="2">
                  <c:v>0</c:v>
                </c:pt>
                <c:pt idx="3">
                  <c:v>0.61538461538461542</c:v>
                </c:pt>
                <c:pt idx="4">
                  <c:v>0.3</c:v>
                </c:pt>
                <c:pt idx="5">
                  <c:v>0.22222222222222221</c:v>
                </c:pt>
                <c:pt idx="6">
                  <c:v>0</c:v>
                </c:pt>
                <c:pt idx="7">
                  <c:v>#N/A</c:v>
                </c:pt>
                <c:pt idx="8">
                  <c:v>0.38461538461538464</c:v>
                </c:pt>
                <c:pt idx="9">
                  <c:v>0.15384615384615385</c:v>
                </c:pt>
              </c:numCache>
            </c:numRef>
          </c:val>
          <c:smooth val="0"/>
          <c:extLst>
            <c:ext xmlns:c16="http://schemas.microsoft.com/office/drawing/2014/chart" uri="{C3380CC4-5D6E-409C-BE32-E72D297353CC}">
              <c16:uniqueId val="{00000000-FA91-44C8-8750-209FECD7F2C6}"/>
            </c:ext>
          </c:extLst>
        </c:ser>
        <c:dLbls>
          <c:showLegendKey val="0"/>
          <c:showVal val="0"/>
          <c:showCatName val="0"/>
          <c:showSerName val="0"/>
          <c:showPercent val="0"/>
          <c:showBubbleSize val="0"/>
        </c:dLbls>
        <c:smooth val="0"/>
        <c:axId val="199498240"/>
        <c:axId val="199379200"/>
      </c:lineChart>
      <c:catAx>
        <c:axId val="199498240"/>
        <c:scaling>
          <c:orientation val="minMax"/>
        </c:scaling>
        <c:delete val="0"/>
        <c:axPos val="b"/>
        <c:numFmt formatCode="General" sourceLinked="0"/>
        <c:majorTickMark val="out"/>
        <c:minorTickMark val="none"/>
        <c:tickLblPos val="nextTo"/>
        <c:crossAx val="199379200"/>
        <c:crosses val="autoZero"/>
        <c:auto val="1"/>
        <c:lblAlgn val="ctr"/>
        <c:lblOffset val="100"/>
        <c:noMultiLvlLbl val="0"/>
      </c:catAx>
      <c:valAx>
        <c:axId val="199379200"/>
        <c:scaling>
          <c:orientation val="minMax"/>
          <c:max val="1"/>
          <c:min val="0"/>
        </c:scaling>
        <c:delete val="0"/>
        <c:axPos val="l"/>
        <c:majorGridlines/>
        <c:numFmt formatCode="0.00%" sourceLinked="1"/>
        <c:majorTickMark val="out"/>
        <c:minorTickMark val="none"/>
        <c:tickLblPos val="nextTo"/>
        <c:crossAx val="199498240"/>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'Surgery Coversheet (CG)'!$A$2</c:f>
              <c:strCache>
                <c:ptCount val="1"/>
                <c:pt idx="0">
                  <c:v>Managers Accountability =&gt;90%</c:v>
                </c:pt>
              </c:strCache>
            </c:strRef>
          </c:tx>
          <c:spPr>
            <a:ln>
              <a:solidFill>
                <a:schemeClr val="accent1"/>
              </a:solidFill>
            </a:ln>
          </c:spPr>
          <c:marker>
            <c:symbol val="none"/>
          </c:marker>
          <c:cat>
            <c:strRef>
              <c:f>'Surgery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'Surgery Coversheet (CG)'!$D$2:$M$2</c:f>
              <c:numCache>
                <c:formatCode>General</c:formatCode>
                <c:ptCount val="10"/>
                <c:pt idx="0">
                  <c:v>2</c:v>
                </c:pt>
                <c:pt idx="1">
                  <c:v>5</c:v>
                </c:pt>
                <c:pt idx="2">
                  <c:v>6</c:v>
                </c:pt>
                <c:pt idx="3">
                  <c:v>9</c:v>
                </c:pt>
                <c:pt idx="4">
                  <c:v>3</c:v>
                </c:pt>
                <c:pt idx="5">
                  <c:v>11</c:v>
                </c:pt>
                <c:pt idx="6">
                  <c:v>9</c:v>
                </c:pt>
                <c:pt idx="7">
                  <c:v>1</c:v>
                </c:pt>
                <c:pt idx="8">
                  <c:v>0</c:v>
                </c:pt>
                <c:pt idx="9">
                  <c:v>2</c:v>
                </c:pt>
              </c:numCache>
            </c:numRef>
          </c:val>
          <c:smooth val="0"/>
          <c:extLst>
            <c:ext xmlns:c16="http://schemas.microsoft.com/office/drawing/2014/chart" uri="{C3380CC4-5D6E-409C-BE32-E72D297353CC}">
              <c16:uniqueId val="{00000000-89AB-4B0D-BEFA-93CA46298694}"/>
            </c:ext>
          </c:extLst>
        </c:ser>
        <c:dLbls>
          <c:showLegendKey val="0"/>
          <c:showVal val="0"/>
          <c:showCatName val="0"/>
          <c:showSerName val="0"/>
          <c:showPercent val="0"/>
          <c:showBubbleSize val="0"/>
        </c:dLbls>
        <c:smooth val="0"/>
        <c:axId val="199963136"/>
        <c:axId val="199380352"/>
      </c:lineChart>
      <c:catAx>
        <c:axId val="199963136"/>
        <c:scaling>
          <c:orientation val="minMax"/>
        </c:scaling>
        <c:delete val="0"/>
        <c:axPos val="b"/>
        <c:numFmt formatCode="General" sourceLinked="0"/>
        <c:majorTickMark val="out"/>
        <c:minorTickMark val="none"/>
        <c:tickLblPos val="nextTo"/>
        <c:crossAx val="199380352"/>
        <c:crosses val="autoZero"/>
        <c:auto val="1"/>
        <c:lblAlgn val="ctr"/>
        <c:lblOffset val="100"/>
        <c:noMultiLvlLbl val="0"/>
      </c:catAx>
      <c:valAx>
        <c:axId val="199380352"/>
        <c:scaling>
          <c:orientation val="minMax"/>
          <c:max val="18"/>
        </c:scaling>
        <c:delete val="0"/>
        <c:axPos val="l"/>
        <c:majorGridlines/>
        <c:numFmt formatCode="General" sourceLinked="1"/>
        <c:majorTickMark val="out"/>
        <c:minorTickMark val="none"/>
        <c:tickLblPos val="nextTo"/>
        <c:crossAx val="199963136"/>
        <c:crosses val="autoZero"/>
        <c:crossBetween val="between"/>
        <c:majorUnit val="2"/>
      </c:valAx>
    </c:plotArea>
    <c:plotVisOnly val="0"/>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Staff Sickness =&lt;3.98%</a:t>
            </a:r>
          </a:p>
        </c:rich>
      </c:tx>
      <c:overlay val="0"/>
    </c:title>
    <c:autoTitleDeleted val="0"/>
    <c:plotArea>
      <c:layout/>
      <c:lineChart>
        <c:grouping val="standard"/>
        <c:varyColors val="0"/>
        <c:ser>
          <c:idx val="0"/>
          <c:order val="0"/>
          <c:tx>
            <c:strRef>
              <c:f>'Surgery Coversheet (CG)'!$A$3</c:f>
              <c:strCache>
                <c:ptCount val="1"/>
                <c:pt idx="0">
                  <c:v>Staff Sickness =&lt;3.98%</c:v>
                </c:pt>
              </c:strCache>
            </c:strRef>
          </c:tx>
          <c:marker>
            <c:symbol val="none"/>
          </c:marker>
          <c:cat>
            <c:strRef>
              <c:f>'Surgery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'Surgery Coversheet (CG)'!$D$3:$M$3</c:f>
              <c:numCache>
                <c:formatCode>General</c:formatCode>
                <c:ptCount val="10"/>
                <c:pt idx="0">
                  <c:v>10</c:v>
                </c:pt>
                <c:pt idx="1">
                  <c:v>8</c:v>
                </c:pt>
                <c:pt idx="2">
                  <c:v>7</c:v>
                </c:pt>
                <c:pt idx="3">
                  <c:v>8</c:v>
                </c:pt>
                <c:pt idx="4">
                  <c:v>8</c:v>
                </c:pt>
                <c:pt idx="5">
                  <c:v>6</c:v>
                </c:pt>
                <c:pt idx="6">
                  <c:v>5</c:v>
                </c:pt>
                <c:pt idx="7">
                  <c:v>1</c:v>
                </c:pt>
                <c:pt idx="8">
                  <c:v>7</c:v>
                </c:pt>
                <c:pt idx="9">
                  <c:v>6</c:v>
                </c:pt>
              </c:numCache>
            </c:numRef>
          </c:val>
          <c:smooth val="0"/>
          <c:extLst>
            <c:ext xmlns:c16="http://schemas.microsoft.com/office/drawing/2014/chart" uri="{C3380CC4-5D6E-409C-BE32-E72D297353CC}">
              <c16:uniqueId val="{00000000-7DCB-4231-AD25-D189773DA139}"/>
            </c:ext>
          </c:extLst>
        </c:ser>
        <c:dLbls>
          <c:showLegendKey val="0"/>
          <c:showVal val="0"/>
          <c:showCatName val="0"/>
          <c:showSerName val="0"/>
          <c:showPercent val="0"/>
          <c:showBubbleSize val="0"/>
        </c:dLbls>
        <c:smooth val="0"/>
        <c:axId val="199964672"/>
        <c:axId val="199382080"/>
      </c:lineChart>
      <c:catAx>
        <c:axId val="199964672"/>
        <c:scaling>
          <c:orientation val="minMax"/>
        </c:scaling>
        <c:delete val="0"/>
        <c:axPos val="b"/>
        <c:numFmt formatCode="General" sourceLinked="0"/>
        <c:majorTickMark val="out"/>
        <c:minorTickMark val="none"/>
        <c:tickLblPos val="nextTo"/>
        <c:crossAx val="199382080"/>
        <c:crosses val="autoZero"/>
        <c:auto val="1"/>
        <c:lblAlgn val="ctr"/>
        <c:lblOffset val="100"/>
        <c:noMultiLvlLbl val="0"/>
      </c:catAx>
      <c:valAx>
        <c:axId val="199382080"/>
        <c:scaling>
          <c:orientation val="minMax"/>
          <c:max val="18"/>
        </c:scaling>
        <c:delete val="0"/>
        <c:axPos val="l"/>
        <c:majorGridlines/>
        <c:numFmt formatCode="General" sourceLinked="1"/>
        <c:majorTickMark val="out"/>
        <c:minorTickMark val="none"/>
        <c:tickLblPos val="nextTo"/>
        <c:crossAx val="199964672"/>
        <c:crosses val="autoZero"/>
        <c:crossBetween val="between"/>
        <c:majorUnit val="2"/>
      </c:valAx>
    </c:plotArea>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'Surgery Coversheet (CG)'!$A$4</c:f>
              <c:strCache>
                <c:ptCount val="1"/>
                <c:pt idx="0">
                  <c:v>Staff Turnover &lt;10%</c:v>
                </c:pt>
              </c:strCache>
            </c:strRef>
          </c:tx>
          <c:marker>
            <c:symbol val="none"/>
          </c:marker>
          <c:cat>
            <c:strRef>
              <c:f>'Surgery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'Surgery Coversheet (CG)'!$D$4:$M$4</c:f>
              <c:numCache>
                <c:formatCode>General</c:formatCode>
                <c:ptCount val="10"/>
                <c:pt idx="0">
                  <c:v>17</c:v>
                </c:pt>
                <c:pt idx="1">
                  <c:v>17</c:v>
                </c:pt>
                <c:pt idx="2">
                  <c:v>17</c:v>
                </c:pt>
                <c:pt idx="3">
                  <c:v>17</c:v>
                </c:pt>
                <c:pt idx="4">
                  <c:v>17</c:v>
                </c:pt>
                <c:pt idx="5">
                  <c:v>17</c:v>
                </c:pt>
                <c:pt idx="6">
                  <c:v>17</c:v>
                </c:pt>
                <c:pt idx="7">
                  <c:v>17</c:v>
                </c:pt>
                <c:pt idx="8">
                  <c:v>17</c:v>
                </c:pt>
                <c:pt idx="9">
                  <c:v>16</c:v>
                </c:pt>
              </c:numCache>
            </c:numRef>
          </c:val>
          <c:smooth val="0"/>
          <c:extLst>
            <c:ext xmlns:c16="http://schemas.microsoft.com/office/drawing/2014/chart" uri="{C3380CC4-5D6E-409C-BE32-E72D297353CC}">
              <c16:uniqueId val="{00000000-4601-4FCE-B36B-8046B338B2CC}"/>
            </c:ext>
          </c:extLst>
        </c:ser>
        <c:dLbls>
          <c:showLegendKey val="0"/>
          <c:showVal val="0"/>
          <c:showCatName val="0"/>
          <c:showSerName val="0"/>
          <c:showPercent val="0"/>
          <c:showBubbleSize val="0"/>
        </c:dLbls>
        <c:smooth val="0"/>
        <c:axId val="199966208"/>
        <c:axId val="199383808"/>
      </c:lineChart>
      <c:catAx>
        <c:axId val="199966208"/>
        <c:scaling>
          <c:orientation val="minMax"/>
        </c:scaling>
        <c:delete val="0"/>
        <c:axPos val="b"/>
        <c:numFmt formatCode="General" sourceLinked="0"/>
        <c:majorTickMark val="out"/>
        <c:minorTickMark val="none"/>
        <c:tickLblPos val="nextTo"/>
        <c:crossAx val="199383808"/>
        <c:crosses val="autoZero"/>
        <c:auto val="1"/>
        <c:lblAlgn val="ctr"/>
        <c:lblOffset val="100"/>
        <c:noMultiLvlLbl val="0"/>
      </c:catAx>
      <c:valAx>
        <c:axId val="199383808"/>
        <c:scaling>
          <c:orientation val="minMax"/>
          <c:max val="18"/>
          <c:min val="0"/>
        </c:scaling>
        <c:delete val="0"/>
        <c:axPos val="l"/>
        <c:majorGridlines/>
        <c:numFmt formatCode="General" sourceLinked="1"/>
        <c:majorTickMark val="out"/>
        <c:minorTickMark val="none"/>
        <c:tickLblPos val="nextTo"/>
        <c:crossAx val="199966208"/>
        <c:crosses val="autoZero"/>
        <c:crossBetween val="between"/>
        <c:majorUnit val="2"/>
      </c:valAx>
    </c:plotArea>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'Surgery Coversheet (CG)'!$A$5</c:f>
              <c:strCache>
                <c:ptCount val="1"/>
                <c:pt idx="0">
                  <c:v>Recommend as a place to work =&gt;67% </c:v>
                </c:pt>
              </c:strCache>
            </c:strRef>
          </c:tx>
          <c:marker>
            <c:symbol val="none"/>
          </c:marker>
          <c:cat>
            <c:strRef>
              <c:f>'Surgery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'Surgery Coversheet (CG)'!$D$5:$M$5</c:f>
              <c:numCache>
                <c:formatCode>0.00%</c:formatCode>
                <c:ptCount val="10"/>
                <c:pt idx="0">
                  <c:v>0.53333333333333333</c:v>
                </c:pt>
                <c:pt idx="1">
                  <c:v>0.73333333333333328</c:v>
                </c:pt>
                <c:pt idx="2">
                  <c:v>0.53333333333333333</c:v>
                </c:pt>
                <c:pt idx="3">
                  <c:v>0.8</c:v>
                </c:pt>
                <c:pt idx="4">
                  <c:v>0.27272727272727271</c:v>
                </c:pt>
                <c:pt idx="5">
                  <c:v>0.3</c:v>
                </c:pt>
                <c:pt idx="6">
                  <c:v>0.23529411764705882</c:v>
                </c:pt>
                <c:pt idx="7">
                  <c:v>0</c:v>
                </c:pt>
                <c:pt idx="8">
                  <c:v>0.25</c:v>
                </c:pt>
                <c:pt idx="9">
                  <c:v>0.16666666666666666</c:v>
                </c:pt>
              </c:numCache>
            </c:numRef>
          </c:val>
          <c:smooth val="0"/>
          <c:extLst>
            <c:ext xmlns:c16="http://schemas.microsoft.com/office/drawing/2014/chart" uri="{C3380CC4-5D6E-409C-BE32-E72D297353CC}">
              <c16:uniqueId val="{00000000-8E87-4B90-8DD5-361F6207BB7B}"/>
            </c:ext>
          </c:extLst>
        </c:ser>
        <c:dLbls>
          <c:showLegendKey val="0"/>
          <c:showVal val="0"/>
          <c:showCatName val="0"/>
          <c:showSerName val="0"/>
          <c:showPercent val="0"/>
          <c:showBubbleSize val="0"/>
        </c:dLbls>
        <c:smooth val="0"/>
        <c:axId val="200069632"/>
        <c:axId val="199893568"/>
      </c:lineChart>
      <c:catAx>
        <c:axId val="200069632"/>
        <c:scaling>
          <c:orientation val="minMax"/>
        </c:scaling>
        <c:delete val="0"/>
        <c:axPos val="b"/>
        <c:numFmt formatCode="General" sourceLinked="0"/>
        <c:majorTickMark val="out"/>
        <c:minorTickMark val="none"/>
        <c:tickLblPos val="nextTo"/>
        <c:crossAx val="199893568"/>
        <c:crosses val="autoZero"/>
        <c:auto val="1"/>
        <c:lblAlgn val="ctr"/>
        <c:lblOffset val="100"/>
        <c:noMultiLvlLbl val="0"/>
      </c:catAx>
      <c:valAx>
        <c:axId val="199893568"/>
        <c:scaling>
          <c:orientation val="minMax"/>
          <c:max val="1"/>
          <c:min val="0"/>
        </c:scaling>
        <c:delete val="0"/>
        <c:axPos val="l"/>
        <c:majorGridlines/>
        <c:numFmt formatCode="0.00%" sourceLinked="1"/>
        <c:majorTickMark val="out"/>
        <c:minorTickMark val="none"/>
        <c:tickLblPos val="nextTo"/>
        <c:crossAx val="200069632"/>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Recommend as a place to be treated =&gt;67%</a:t>
            </a:r>
          </a:p>
        </c:rich>
      </c:tx>
      <c:overlay val="0"/>
    </c:title>
    <c:autoTitleDeleted val="0"/>
    <c:plotArea>
      <c:layout/>
      <c:lineChart>
        <c:grouping val="standard"/>
        <c:varyColors val="0"/>
        <c:ser>
          <c:idx val="0"/>
          <c:order val="0"/>
          <c:tx>
            <c:strRef>
              <c:f>'Surgery Coversheet (CG)'!$A$6</c:f>
              <c:strCache>
                <c:ptCount val="1"/>
                <c:pt idx="0">
                  <c:v>Recommend as a place to be treated =67%</c:v>
                </c:pt>
              </c:strCache>
            </c:strRef>
          </c:tx>
          <c:marker>
            <c:symbol val="none"/>
          </c:marker>
          <c:cat>
            <c:strRef>
              <c:f>'Surgery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'Surgery Coversheet (CG)'!$D$6:$M$6</c:f>
              <c:numCache>
                <c:formatCode>0.00%</c:formatCode>
                <c:ptCount val="10"/>
                <c:pt idx="0">
                  <c:v>0.73333333333333328</c:v>
                </c:pt>
                <c:pt idx="1">
                  <c:v>0.73333333333333328</c:v>
                </c:pt>
                <c:pt idx="2">
                  <c:v>0.66666666666666663</c:v>
                </c:pt>
                <c:pt idx="3">
                  <c:v>1</c:v>
                </c:pt>
                <c:pt idx="4">
                  <c:v>0.63636363636363635</c:v>
                </c:pt>
                <c:pt idx="5">
                  <c:v>0.3</c:v>
                </c:pt>
                <c:pt idx="6">
                  <c:v>0.52941176470588236</c:v>
                </c:pt>
                <c:pt idx="7">
                  <c:v>1</c:v>
                </c:pt>
                <c:pt idx="8">
                  <c:v>0.5</c:v>
                </c:pt>
                <c:pt idx="9">
                  <c:v>0.25</c:v>
                </c:pt>
              </c:numCache>
            </c:numRef>
          </c:val>
          <c:smooth val="0"/>
          <c:extLst>
            <c:ext xmlns:c16="http://schemas.microsoft.com/office/drawing/2014/chart" uri="{C3380CC4-5D6E-409C-BE32-E72D297353CC}">
              <c16:uniqueId val="{00000000-6677-4B36-9B63-B15C3135A450}"/>
            </c:ext>
          </c:extLst>
        </c:ser>
        <c:dLbls>
          <c:showLegendKey val="0"/>
          <c:showVal val="0"/>
          <c:showCatName val="0"/>
          <c:showSerName val="0"/>
          <c:showPercent val="0"/>
          <c:showBubbleSize val="0"/>
        </c:dLbls>
        <c:smooth val="0"/>
        <c:axId val="200070656"/>
        <c:axId val="199895296"/>
      </c:lineChart>
      <c:catAx>
        <c:axId val="200070656"/>
        <c:scaling>
          <c:orientation val="minMax"/>
        </c:scaling>
        <c:delete val="0"/>
        <c:axPos val="b"/>
        <c:numFmt formatCode="General" sourceLinked="1"/>
        <c:majorTickMark val="out"/>
        <c:minorTickMark val="none"/>
        <c:tickLblPos val="nextTo"/>
        <c:crossAx val="199895296"/>
        <c:crosses val="autoZero"/>
        <c:auto val="1"/>
        <c:lblAlgn val="ctr"/>
        <c:lblOffset val="100"/>
        <c:noMultiLvlLbl val="0"/>
      </c:catAx>
      <c:valAx>
        <c:axId val="199895296"/>
        <c:scaling>
          <c:orientation val="minMax"/>
          <c:max val="1"/>
          <c:min val="0"/>
        </c:scaling>
        <c:delete val="0"/>
        <c:axPos val="l"/>
        <c:majorGridlines/>
        <c:numFmt formatCode="0.00%" sourceLinked="1"/>
        <c:majorTickMark val="out"/>
        <c:minorTickMark val="none"/>
        <c:tickLblPos val="nextTo"/>
        <c:crossAx val="200070656"/>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Local PULSE questions average</a:t>
            </a:r>
          </a:p>
          <a:p>
            <a:pPr>
              <a:defRPr sz="1200"/>
            </a:pPr>
            <a:r>
              <a:rPr lang="en-US"/>
              <a:t> (exclude ‘recommenders’) =&gt;67% </a:t>
            </a:r>
          </a:p>
        </c:rich>
      </c:tx>
      <c:overlay val="0"/>
    </c:title>
    <c:autoTitleDeleted val="0"/>
    <c:plotArea>
      <c:layout/>
      <c:lineChart>
        <c:grouping val="standard"/>
        <c:varyColors val="0"/>
        <c:ser>
          <c:idx val="0"/>
          <c:order val="0"/>
          <c:tx>
            <c:strRef>
              <c:f>'Surgery Coversheet (CG)'!$A$7</c:f>
              <c:strCache>
                <c:ptCount val="1"/>
                <c:pt idx="0">
                  <c:v>Local PULSE questions (exclude ‘recommenders’) =&gt;67% </c:v>
                </c:pt>
              </c:strCache>
            </c:strRef>
          </c:tx>
          <c:spPr>
            <a:ln>
              <a:solidFill>
                <a:schemeClr val="accent1"/>
              </a:solidFill>
            </a:ln>
          </c:spPr>
          <c:marker>
            <c:symbol val="none"/>
          </c:marker>
          <c:cat>
            <c:strRef>
              <c:f>'Surgery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'Surgery Coversheet (CG)'!$D$7:$M$7</c:f>
              <c:numCache>
                <c:formatCode>0.00%</c:formatCode>
                <c:ptCount val="10"/>
                <c:pt idx="0">
                  <c:v>0.13333333333333333</c:v>
                </c:pt>
                <c:pt idx="1">
                  <c:v>0.13333333333333333</c:v>
                </c:pt>
                <c:pt idx="2">
                  <c:v>0.26666666666666666</c:v>
                </c:pt>
                <c:pt idx="3">
                  <c:v>0.4</c:v>
                </c:pt>
                <c:pt idx="4">
                  <c:v>9.0909090909090912E-2</c:v>
                </c:pt>
                <c:pt idx="5">
                  <c:v>0.3</c:v>
                </c:pt>
                <c:pt idx="6">
                  <c:v>0.29411764705882354</c:v>
                </c:pt>
                <c:pt idx="7">
                  <c:v>0</c:v>
                </c:pt>
                <c:pt idx="8">
                  <c:v>0.33333333333333331</c:v>
                </c:pt>
                <c:pt idx="9">
                  <c:v>8.3333333333333329E-2</c:v>
                </c:pt>
              </c:numCache>
            </c:numRef>
          </c:val>
          <c:smooth val="0"/>
          <c:extLst>
            <c:ext xmlns:c16="http://schemas.microsoft.com/office/drawing/2014/chart" uri="{C3380CC4-5D6E-409C-BE32-E72D297353CC}">
              <c16:uniqueId val="{00000000-978F-49D0-ADA3-A6903A9FD5F5}"/>
            </c:ext>
          </c:extLst>
        </c:ser>
        <c:dLbls>
          <c:showLegendKey val="0"/>
          <c:showVal val="0"/>
          <c:showCatName val="0"/>
          <c:showSerName val="0"/>
          <c:showPercent val="0"/>
          <c:showBubbleSize val="0"/>
        </c:dLbls>
        <c:smooth val="0"/>
        <c:axId val="200072704"/>
        <c:axId val="199897600"/>
      </c:lineChart>
      <c:catAx>
        <c:axId val="200072704"/>
        <c:scaling>
          <c:orientation val="minMax"/>
        </c:scaling>
        <c:delete val="0"/>
        <c:axPos val="b"/>
        <c:numFmt formatCode="General" sourceLinked="0"/>
        <c:majorTickMark val="out"/>
        <c:minorTickMark val="none"/>
        <c:tickLblPos val="nextTo"/>
        <c:crossAx val="199897600"/>
        <c:crosses val="autoZero"/>
        <c:auto val="1"/>
        <c:lblAlgn val="ctr"/>
        <c:lblOffset val="100"/>
        <c:noMultiLvlLbl val="0"/>
      </c:catAx>
      <c:valAx>
        <c:axId val="199897600"/>
        <c:scaling>
          <c:orientation val="minMax"/>
          <c:max val="1"/>
          <c:min val="0"/>
        </c:scaling>
        <c:delete val="0"/>
        <c:axPos val="l"/>
        <c:majorGridlines/>
        <c:numFmt formatCode="0.00%" sourceLinked="1"/>
        <c:majorTickMark val="out"/>
        <c:minorTickMark val="none"/>
        <c:tickLblPos val="nextTo"/>
        <c:crossAx val="200072704"/>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'W&amp;C Coversheet (CG)'!$A$2</c:f>
              <c:strCache>
                <c:ptCount val="1"/>
                <c:pt idx="0">
                  <c:v>Managers Accountability =&gt;90%</c:v>
                </c:pt>
              </c:strCache>
            </c:strRef>
          </c:tx>
          <c:spPr>
            <a:ln>
              <a:solidFill>
                <a:schemeClr val="accent1"/>
              </a:solidFill>
            </a:ln>
          </c:spPr>
          <c:marker>
            <c:symbol val="none"/>
          </c:marker>
          <c:cat>
            <c:strRef>
              <c:f>'W&amp;C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'W&amp;C Coversheet (CG)'!$D$2:$M$2</c:f>
              <c:numCache>
                <c:formatCode>General</c:formatCode>
                <c:ptCount val="10"/>
                <c:pt idx="0">
                  <c:v>1</c:v>
                </c:pt>
                <c:pt idx="1">
                  <c:v>1</c:v>
                </c:pt>
                <c:pt idx="2">
                  <c:v>0</c:v>
                </c:pt>
                <c:pt idx="3">
                  <c:v>0</c:v>
                </c:pt>
                <c:pt idx="4">
                  <c:v>1</c:v>
                </c:pt>
                <c:pt idx="5">
                  <c:v>1</c:v>
                </c:pt>
                <c:pt idx="6">
                  <c:v>1</c:v>
                </c:pt>
                <c:pt idx="7">
                  <c:v>0</c:v>
                </c:pt>
                <c:pt idx="8">
                  <c:v>0</c:v>
                </c:pt>
                <c:pt idx="9">
                  <c:v>0</c:v>
                </c:pt>
              </c:numCache>
            </c:numRef>
          </c:val>
          <c:smooth val="0"/>
          <c:extLst>
            <c:ext xmlns:c16="http://schemas.microsoft.com/office/drawing/2014/chart" uri="{C3380CC4-5D6E-409C-BE32-E72D297353CC}">
              <c16:uniqueId val="{00000000-BD97-4D88-9FF5-0BA57B46FB2B}"/>
            </c:ext>
          </c:extLst>
        </c:ser>
        <c:dLbls>
          <c:showLegendKey val="0"/>
          <c:showVal val="0"/>
          <c:showCatName val="0"/>
          <c:showSerName val="0"/>
          <c:showPercent val="0"/>
          <c:showBubbleSize val="0"/>
        </c:dLbls>
        <c:smooth val="0"/>
        <c:axId val="201447936"/>
        <c:axId val="199898752"/>
      </c:lineChart>
      <c:catAx>
        <c:axId val="201447936"/>
        <c:scaling>
          <c:orientation val="minMax"/>
        </c:scaling>
        <c:delete val="0"/>
        <c:axPos val="b"/>
        <c:numFmt formatCode="General" sourceLinked="0"/>
        <c:majorTickMark val="out"/>
        <c:minorTickMark val="none"/>
        <c:tickLblPos val="nextTo"/>
        <c:crossAx val="199898752"/>
        <c:crosses val="autoZero"/>
        <c:auto val="1"/>
        <c:lblAlgn val="ctr"/>
        <c:lblOffset val="100"/>
        <c:noMultiLvlLbl val="0"/>
      </c:catAx>
      <c:valAx>
        <c:axId val="199898752"/>
        <c:scaling>
          <c:orientation val="minMax"/>
          <c:max val="7"/>
        </c:scaling>
        <c:delete val="0"/>
        <c:axPos val="l"/>
        <c:majorGridlines/>
        <c:numFmt formatCode="General" sourceLinked="1"/>
        <c:majorTickMark val="out"/>
        <c:minorTickMark val="none"/>
        <c:tickLblPos val="nextTo"/>
        <c:crossAx val="201447936"/>
        <c:crosses val="autoZero"/>
        <c:crossBetween val="between"/>
        <c:majorUnit val="1"/>
      </c:valAx>
    </c:plotArea>
    <c:plotVisOnly val="0"/>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Staff Sickness =&lt;3.98%</a:t>
            </a:r>
          </a:p>
        </c:rich>
      </c:tx>
      <c:overlay val="0"/>
    </c:title>
    <c:autoTitleDeleted val="0"/>
    <c:plotArea>
      <c:layout/>
      <c:lineChart>
        <c:grouping val="standard"/>
        <c:varyColors val="0"/>
        <c:ser>
          <c:idx val="0"/>
          <c:order val="0"/>
          <c:tx>
            <c:strRef>
              <c:f>'W&amp;C Coversheet (CG)'!$A$3</c:f>
              <c:strCache>
                <c:ptCount val="1"/>
                <c:pt idx="0">
                  <c:v>Staff Sickness =&lt;3.98%</c:v>
                </c:pt>
              </c:strCache>
            </c:strRef>
          </c:tx>
          <c:marker>
            <c:symbol val="none"/>
          </c:marker>
          <c:cat>
            <c:strRef>
              <c:f>'W&amp;C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'W&amp;C Coversheet (CG)'!$D$3:$M$3</c:f>
              <c:numCache>
                <c:formatCode>General</c:formatCode>
                <c:ptCount val="10"/>
                <c:pt idx="0">
                  <c:v>4</c:v>
                </c:pt>
                <c:pt idx="1">
                  <c:v>3</c:v>
                </c:pt>
                <c:pt idx="2">
                  <c:v>3</c:v>
                </c:pt>
                <c:pt idx="3">
                  <c:v>2</c:v>
                </c:pt>
                <c:pt idx="4">
                  <c:v>3</c:v>
                </c:pt>
                <c:pt idx="5">
                  <c:v>2</c:v>
                </c:pt>
                <c:pt idx="6">
                  <c:v>1</c:v>
                </c:pt>
                <c:pt idx="7">
                  <c:v>0</c:v>
                </c:pt>
                <c:pt idx="8">
                  <c:v>1</c:v>
                </c:pt>
                <c:pt idx="9">
                  <c:v>1</c:v>
                </c:pt>
              </c:numCache>
            </c:numRef>
          </c:val>
          <c:smooth val="0"/>
          <c:extLst>
            <c:ext xmlns:c16="http://schemas.microsoft.com/office/drawing/2014/chart" uri="{C3380CC4-5D6E-409C-BE32-E72D297353CC}">
              <c16:uniqueId val="{00000000-668A-4409-8E81-DA16181E997D}"/>
            </c:ext>
          </c:extLst>
        </c:ser>
        <c:dLbls>
          <c:showLegendKey val="0"/>
          <c:showVal val="0"/>
          <c:showCatName val="0"/>
          <c:showSerName val="0"/>
          <c:showPercent val="0"/>
          <c:showBubbleSize val="0"/>
        </c:dLbls>
        <c:smooth val="0"/>
        <c:axId val="200769536"/>
        <c:axId val="199900480"/>
      </c:lineChart>
      <c:catAx>
        <c:axId val="200769536"/>
        <c:scaling>
          <c:orientation val="minMax"/>
        </c:scaling>
        <c:delete val="0"/>
        <c:axPos val="b"/>
        <c:numFmt formatCode="General" sourceLinked="0"/>
        <c:majorTickMark val="out"/>
        <c:minorTickMark val="none"/>
        <c:tickLblPos val="nextTo"/>
        <c:crossAx val="199900480"/>
        <c:crosses val="autoZero"/>
        <c:auto val="1"/>
        <c:lblAlgn val="ctr"/>
        <c:lblOffset val="100"/>
        <c:noMultiLvlLbl val="0"/>
      </c:catAx>
      <c:valAx>
        <c:axId val="199900480"/>
        <c:scaling>
          <c:orientation val="minMax"/>
          <c:max val="7"/>
        </c:scaling>
        <c:delete val="0"/>
        <c:axPos val="l"/>
        <c:majorGridlines/>
        <c:numFmt formatCode="General" sourceLinked="1"/>
        <c:majorTickMark val="out"/>
        <c:minorTickMark val="none"/>
        <c:tickLblPos val="nextTo"/>
        <c:crossAx val="200769536"/>
        <c:crosses val="autoZero"/>
        <c:crossBetween val="between"/>
        <c:majorUnit val="1"/>
      </c:valAx>
    </c:plotArea>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'W&amp;C Coversheet (CG)'!$A$4</c:f>
              <c:strCache>
                <c:ptCount val="1"/>
                <c:pt idx="0">
                  <c:v>Staff Turnover &lt;10%</c:v>
                </c:pt>
              </c:strCache>
            </c:strRef>
          </c:tx>
          <c:marker>
            <c:symbol val="none"/>
          </c:marker>
          <c:cat>
            <c:strRef>
              <c:f>'W&amp;C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'W&amp;C Coversheet (CG)'!$D$4:$M$4</c:f>
              <c:numCache>
                <c:formatCode>General</c:formatCode>
                <c:ptCount val="10"/>
                <c:pt idx="0">
                  <c:v>7</c:v>
                </c:pt>
                <c:pt idx="1">
                  <c:v>7</c:v>
                </c:pt>
                <c:pt idx="2">
                  <c:v>7</c:v>
                </c:pt>
                <c:pt idx="3">
                  <c:v>7</c:v>
                </c:pt>
                <c:pt idx="4">
                  <c:v>7</c:v>
                </c:pt>
                <c:pt idx="5">
                  <c:v>7</c:v>
                </c:pt>
                <c:pt idx="6">
                  <c:v>7</c:v>
                </c:pt>
                <c:pt idx="7">
                  <c:v>7</c:v>
                </c:pt>
                <c:pt idx="8">
                  <c:v>7</c:v>
                </c:pt>
                <c:pt idx="9">
                  <c:v>7</c:v>
                </c:pt>
              </c:numCache>
            </c:numRef>
          </c:val>
          <c:smooth val="0"/>
          <c:extLst>
            <c:ext xmlns:c16="http://schemas.microsoft.com/office/drawing/2014/chart" uri="{C3380CC4-5D6E-409C-BE32-E72D297353CC}">
              <c16:uniqueId val="{00000000-5A56-47DC-967B-CD84F48F710B}"/>
            </c:ext>
          </c:extLst>
        </c:ser>
        <c:dLbls>
          <c:showLegendKey val="0"/>
          <c:showVal val="0"/>
          <c:showCatName val="0"/>
          <c:showSerName val="0"/>
          <c:showPercent val="0"/>
          <c:showBubbleSize val="0"/>
        </c:dLbls>
        <c:smooth val="0"/>
        <c:axId val="200771072"/>
        <c:axId val="200885376"/>
      </c:lineChart>
      <c:catAx>
        <c:axId val="200771072"/>
        <c:scaling>
          <c:orientation val="minMax"/>
        </c:scaling>
        <c:delete val="0"/>
        <c:axPos val="b"/>
        <c:numFmt formatCode="General" sourceLinked="0"/>
        <c:majorTickMark val="out"/>
        <c:minorTickMark val="none"/>
        <c:tickLblPos val="nextTo"/>
        <c:crossAx val="200885376"/>
        <c:crosses val="autoZero"/>
        <c:auto val="1"/>
        <c:lblAlgn val="ctr"/>
        <c:lblOffset val="100"/>
        <c:noMultiLvlLbl val="0"/>
      </c:catAx>
      <c:valAx>
        <c:axId val="200885376"/>
        <c:scaling>
          <c:orientation val="minMax"/>
          <c:max val="8"/>
          <c:min val="0"/>
        </c:scaling>
        <c:delete val="0"/>
        <c:axPos val="l"/>
        <c:majorGridlines/>
        <c:numFmt formatCode="General" sourceLinked="1"/>
        <c:majorTickMark val="out"/>
        <c:minorTickMark val="none"/>
        <c:tickLblPos val="nextTo"/>
        <c:crossAx val="200771072"/>
        <c:crosses val="autoZero"/>
        <c:crossBetween val="between"/>
        <c:majorUnit val="1"/>
      </c:valAx>
    </c:plotArea>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7683379175125"/>
          <c:y val="0.14498069631122071"/>
          <c:w val="0.85683443382210367"/>
          <c:h val="0.78188928033596805"/>
        </c:manualLayout>
      </c:layout>
      <c:lineChart>
        <c:grouping val="standard"/>
        <c:varyColors val="0"/>
        <c:ser>
          <c:idx val="0"/>
          <c:order val="0"/>
          <c:tx>
            <c:strRef>
              <c:f>'W&amp;C Coversheet (CG)'!$A$5</c:f>
              <c:strCache>
                <c:ptCount val="1"/>
                <c:pt idx="0">
                  <c:v>Recommend as a place to work =&gt;67% </c:v>
                </c:pt>
              </c:strCache>
            </c:strRef>
          </c:tx>
          <c:marker>
            <c:symbol val="none"/>
          </c:marker>
          <c:cat>
            <c:strRef>
              <c:f>'W&amp;C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'W&amp;C Coversheet (CG)'!$D$5:$M$5</c:f>
              <c:numCache>
                <c:formatCode>0.00%</c:formatCode>
                <c:ptCount val="10"/>
                <c:pt idx="0">
                  <c:v>0.8571428571428571</c:v>
                </c:pt>
                <c:pt idx="1">
                  <c:v>0.8571428571428571</c:v>
                </c:pt>
                <c:pt idx="2">
                  <c:v>0.8571428571428571</c:v>
                </c:pt>
                <c:pt idx="3">
                  <c:v>0.8571428571428571</c:v>
                </c:pt>
                <c:pt idx="4">
                  <c:v>0.5</c:v>
                </c:pt>
                <c:pt idx="5">
                  <c:v>0.75</c:v>
                </c:pt>
                <c:pt idx="6">
                  <c:v>0</c:v>
                </c:pt>
                <c:pt idx="7" formatCode="General">
                  <c:v>#N/A</c:v>
                </c:pt>
                <c:pt idx="8">
                  <c:v>0.42857142857142855</c:v>
                </c:pt>
                <c:pt idx="9">
                  <c:v>0.14285714285714285</c:v>
                </c:pt>
              </c:numCache>
            </c:numRef>
          </c:val>
          <c:smooth val="0"/>
          <c:extLst>
            <c:ext xmlns:c16="http://schemas.microsoft.com/office/drawing/2014/chart" uri="{C3380CC4-5D6E-409C-BE32-E72D297353CC}">
              <c16:uniqueId val="{00000000-ADA5-40FA-9817-57F34AA34343}"/>
            </c:ext>
          </c:extLst>
        </c:ser>
        <c:dLbls>
          <c:showLegendKey val="0"/>
          <c:showVal val="0"/>
          <c:showCatName val="0"/>
          <c:showSerName val="0"/>
          <c:showPercent val="0"/>
          <c:showBubbleSize val="0"/>
        </c:dLbls>
        <c:smooth val="0"/>
        <c:axId val="200772096"/>
        <c:axId val="200887104"/>
      </c:lineChart>
      <c:catAx>
        <c:axId val="200772096"/>
        <c:scaling>
          <c:orientation val="minMax"/>
        </c:scaling>
        <c:delete val="0"/>
        <c:axPos val="b"/>
        <c:numFmt formatCode="General" sourceLinked="0"/>
        <c:majorTickMark val="out"/>
        <c:minorTickMark val="none"/>
        <c:tickLblPos val="nextTo"/>
        <c:crossAx val="200887104"/>
        <c:crosses val="autoZero"/>
        <c:auto val="1"/>
        <c:lblAlgn val="ctr"/>
        <c:lblOffset val="100"/>
        <c:noMultiLvlLbl val="0"/>
      </c:catAx>
      <c:valAx>
        <c:axId val="200887104"/>
        <c:scaling>
          <c:orientation val="minMax"/>
          <c:max val="1"/>
          <c:min val="0"/>
        </c:scaling>
        <c:delete val="0"/>
        <c:axPos val="l"/>
        <c:majorGridlines/>
        <c:numFmt formatCode="0.00%" sourceLinked="1"/>
        <c:majorTickMark val="out"/>
        <c:minorTickMark val="none"/>
        <c:tickLblPos val="nextTo"/>
        <c:crossAx val="200772096"/>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Recommend as a place to be treated =&gt;67%</a:t>
            </a:r>
          </a:p>
        </c:rich>
      </c:tx>
      <c:overlay val="0"/>
    </c:title>
    <c:autoTitleDeleted val="0"/>
    <c:plotArea>
      <c:layout/>
      <c:lineChart>
        <c:grouping val="standard"/>
        <c:varyColors val="0"/>
        <c:ser>
          <c:idx val="0"/>
          <c:order val="0"/>
          <c:tx>
            <c:strRef>
              <c:f>'W&amp;C Coversheet (CG)'!$A$6</c:f>
              <c:strCache>
                <c:ptCount val="1"/>
                <c:pt idx="0">
                  <c:v>Recommend as a place to be treated =67%</c:v>
                </c:pt>
              </c:strCache>
            </c:strRef>
          </c:tx>
          <c:marker>
            <c:symbol val="none"/>
          </c:marker>
          <c:cat>
            <c:strRef>
              <c:f>'W&amp;C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'W&amp;C Coversheet (CG)'!$D$6:$M$6</c:f>
              <c:numCache>
                <c:formatCode>0.00%</c:formatCode>
                <c:ptCount val="10"/>
                <c:pt idx="0">
                  <c:v>0.8571428571428571</c:v>
                </c:pt>
                <c:pt idx="1">
                  <c:v>0.8571428571428571</c:v>
                </c:pt>
                <c:pt idx="2">
                  <c:v>1</c:v>
                </c:pt>
                <c:pt idx="3">
                  <c:v>1</c:v>
                </c:pt>
                <c:pt idx="4">
                  <c:v>1</c:v>
                </c:pt>
                <c:pt idx="5">
                  <c:v>0.75</c:v>
                </c:pt>
                <c:pt idx="6">
                  <c:v>0.42857142857142855</c:v>
                </c:pt>
                <c:pt idx="7" formatCode="General">
                  <c:v>#N/A</c:v>
                </c:pt>
                <c:pt idx="8">
                  <c:v>0.2857142857142857</c:v>
                </c:pt>
                <c:pt idx="9">
                  <c:v>0.42857142857142855</c:v>
                </c:pt>
              </c:numCache>
            </c:numRef>
          </c:val>
          <c:smooth val="0"/>
          <c:extLst>
            <c:ext xmlns:c16="http://schemas.microsoft.com/office/drawing/2014/chart" uri="{C3380CC4-5D6E-409C-BE32-E72D297353CC}">
              <c16:uniqueId val="{00000000-A10B-4BED-B539-A708FAF4847B}"/>
            </c:ext>
          </c:extLst>
        </c:ser>
        <c:dLbls>
          <c:showLegendKey val="0"/>
          <c:showVal val="0"/>
          <c:showCatName val="0"/>
          <c:showSerName val="0"/>
          <c:showPercent val="0"/>
          <c:showBubbleSize val="0"/>
        </c:dLbls>
        <c:smooth val="0"/>
        <c:axId val="200773120"/>
        <c:axId val="200888832"/>
      </c:lineChart>
      <c:catAx>
        <c:axId val="200773120"/>
        <c:scaling>
          <c:orientation val="minMax"/>
        </c:scaling>
        <c:delete val="0"/>
        <c:axPos val="b"/>
        <c:numFmt formatCode="General" sourceLinked="1"/>
        <c:majorTickMark val="out"/>
        <c:minorTickMark val="none"/>
        <c:tickLblPos val="nextTo"/>
        <c:crossAx val="200888832"/>
        <c:crosses val="autoZero"/>
        <c:auto val="1"/>
        <c:lblAlgn val="ctr"/>
        <c:lblOffset val="100"/>
        <c:noMultiLvlLbl val="0"/>
      </c:catAx>
      <c:valAx>
        <c:axId val="200888832"/>
        <c:scaling>
          <c:orientation val="minMax"/>
          <c:max val="1"/>
          <c:min val="0"/>
        </c:scaling>
        <c:delete val="0"/>
        <c:axPos val="l"/>
        <c:majorGridlines/>
        <c:numFmt formatCode="0.00%" sourceLinked="1"/>
        <c:majorTickMark val="out"/>
        <c:minorTickMark val="none"/>
        <c:tickLblPos val="nextTo"/>
        <c:crossAx val="200773120"/>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Local PULSE questions average</a:t>
            </a:r>
          </a:p>
          <a:p>
            <a:pPr>
              <a:defRPr sz="1200"/>
            </a:pPr>
            <a:r>
              <a:rPr lang="en-US"/>
              <a:t> (exclude ‘recommenders’) =&gt;67% </a:t>
            </a:r>
          </a:p>
        </c:rich>
      </c:tx>
      <c:overlay val="0"/>
    </c:title>
    <c:autoTitleDeleted val="0"/>
    <c:plotArea>
      <c:layout/>
      <c:lineChart>
        <c:grouping val="standard"/>
        <c:varyColors val="0"/>
        <c:ser>
          <c:idx val="0"/>
          <c:order val="0"/>
          <c:tx>
            <c:strRef>
              <c:f>'W&amp;C Coversheet (CG)'!$A$7</c:f>
              <c:strCache>
                <c:ptCount val="1"/>
                <c:pt idx="0">
                  <c:v>Local PULSE questions (exclude ‘recommenders’) =&gt;67% </c:v>
                </c:pt>
              </c:strCache>
            </c:strRef>
          </c:tx>
          <c:spPr>
            <a:ln>
              <a:solidFill>
                <a:schemeClr val="accent1"/>
              </a:solidFill>
            </a:ln>
          </c:spPr>
          <c:marker>
            <c:symbol val="none"/>
          </c:marker>
          <c:cat>
            <c:strRef>
              <c:f>'W&amp;C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'W&amp;C Coversheet (CG)'!$D$7:$M$7</c:f>
              <c:numCache>
                <c:formatCode>0.00%</c:formatCode>
                <c:ptCount val="10"/>
                <c:pt idx="0">
                  <c:v>0.2857142857142857</c:v>
                </c:pt>
                <c:pt idx="1">
                  <c:v>0.2857142857142857</c:v>
                </c:pt>
                <c:pt idx="2">
                  <c:v>0.42857142857142855</c:v>
                </c:pt>
                <c:pt idx="3">
                  <c:v>0.2857142857142857</c:v>
                </c:pt>
                <c:pt idx="4">
                  <c:v>0</c:v>
                </c:pt>
                <c:pt idx="5">
                  <c:v>0.5</c:v>
                </c:pt>
                <c:pt idx="6">
                  <c:v>0</c:v>
                </c:pt>
                <c:pt idx="7" formatCode="General">
                  <c:v>#N/A</c:v>
                </c:pt>
                <c:pt idx="8">
                  <c:v>0.5714285714285714</c:v>
                </c:pt>
                <c:pt idx="9">
                  <c:v>0.2857142857142857</c:v>
                </c:pt>
              </c:numCache>
            </c:numRef>
          </c:val>
          <c:smooth val="0"/>
          <c:extLst>
            <c:ext xmlns:c16="http://schemas.microsoft.com/office/drawing/2014/chart" uri="{C3380CC4-5D6E-409C-BE32-E72D297353CC}">
              <c16:uniqueId val="{00000000-7FC0-4991-BCAC-4949ABED61F6}"/>
            </c:ext>
          </c:extLst>
        </c:ser>
        <c:dLbls>
          <c:showLegendKey val="0"/>
          <c:showVal val="0"/>
          <c:showCatName val="0"/>
          <c:showSerName val="0"/>
          <c:showPercent val="0"/>
          <c:showBubbleSize val="0"/>
        </c:dLbls>
        <c:smooth val="0"/>
        <c:axId val="201830912"/>
        <c:axId val="200891136"/>
      </c:lineChart>
      <c:catAx>
        <c:axId val="201830912"/>
        <c:scaling>
          <c:orientation val="minMax"/>
        </c:scaling>
        <c:delete val="0"/>
        <c:axPos val="b"/>
        <c:numFmt formatCode="General" sourceLinked="0"/>
        <c:majorTickMark val="out"/>
        <c:minorTickMark val="none"/>
        <c:tickLblPos val="nextTo"/>
        <c:crossAx val="200891136"/>
        <c:crosses val="autoZero"/>
        <c:auto val="1"/>
        <c:lblAlgn val="ctr"/>
        <c:lblOffset val="100"/>
        <c:noMultiLvlLbl val="0"/>
      </c:catAx>
      <c:valAx>
        <c:axId val="200891136"/>
        <c:scaling>
          <c:orientation val="minMax"/>
          <c:max val="1"/>
          <c:min val="0"/>
        </c:scaling>
        <c:delete val="0"/>
        <c:axPos val="l"/>
        <c:majorGridlines/>
        <c:numFmt formatCode="0.00%" sourceLinked="1"/>
        <c:majorTickMark val="out"/>
        <c:minorTickMark val="none"/>
        <c:tickLblPos val="nextTo"/>
        <c:crossAx val="201830912"/>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'CSS Coversheet (CG)'!$A$2</c:f>
              <c:strCache>
                <c:ptCount val="1"/>
                <c:pt idx="0">
                  <c:v>Managers Accountability =&gt;90%</c:v>
                </c:pt>
              </c:strCache>
            </c:strRef>
          </c:tx>
          <c:spPr>
            <a:ln>
              <a:solidFill>
                <a:schemeClr val="accent1"/>
              </a:solidFill>
            </a:ln>
          </c:spPr>
          <c:marker>
            <c:symbol val="none"/>
          </c:marker>
          <c:cat>
            <c:strRef>
              <c:f>'CSS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'CSS Coversheet (CG)'!$D$2:$M$2</c:f>
              <c:numCache>
                <c:formatCode>General</c:formatCode>
                <c:ptCount val="10"/>
                <c:pt idx="0">
                  <c:v>1</c:v>
                </c:pt>
                <c:pt idx="1">
                  <c:v>3</c:v>
                </c:pt>
                <c:pt idx="2">
                  <c:v>4</c:v>
                </c:pt>
                <c:pt idx="3">
                  <c:v>5</c:v>
                </c:pt>
                <c:pt idx="4">
                  <c:v>5</c:v>
                </c:pt>
                <c:pt idx="5">
                  <c:v>3</c:v>
                </c:pt>
                <c:pt idx="6">
                  <c:v>2</c:v>
                </c:pt>
                <c:pt idx="7">
                  <c:v>2</c:v>
                </c:pt>
                <c:pt idx="8">
                  <c:v>0</c:v>
                </c:pt>
                <c:pt idx="9">
                  <c:v>0</c:v>
                </c:pt>
              </c:numCache>
            </c:numRef>
          </c:val>
          <c:smooth val="0"/>
          <c:extLst>
            <c:ext xmlns:c16="http://schemas.microsoft.com/office/drawing/2014/chart" uri="{C3380CC4-5D6E-409C-BE32-E72D297353CC}">
              <c16:uniqueId val="{00000000-61FE-4116-9F89-627DF2D50884}"/>
            </c:ext>
          </c:extLst>
        </c:ser>
        <c:dLbls>
          <c:showLegendKey val="0"/>
          <c:showVal val="0"/>
          <c:showCatName val="0"/>
          <c:showSerName val="0"/>
          <c:showPercent val="0"/>
          <c:showBubbleSize val="0"/>
        </c:dLbls>
        <c:smooth val="0"/>
        <c:axId val="201832960"/>
        <c:axId val="201883648"/>
      </c:lineChart>
      <c:catAx>
        <c:axId val="201832960"/>
        <c:scaling>
          <c:orientation val="minMax"/>
        </c:scaling>
        <c:delete val="0"/>
        <c:axPos val="b"/>
        <c:numFmt formatCode="General" sourceLinked="0"/>
        <c:majorTickMark val="out"/>
        <c:minorTickMark val="none"/>
        <c:tickLblPos val="nextTo"/>
        <c:crossAx val="201883648"/>
        <c:crosses val="autoZero"/>
        <c:auto val="1"/>
        <c:lblAlgn val="ctr"/>
        <c:lblOffset val="100"/>
        <c:noMultiLvlLbl val="0"/>
      </c:catAx>
      <c:valAx>
        <c:axId val="201883648"/>
        <c:scaling>
          <c:orientation val="minMax"/>
          <c:max val="6"/>
        </c:scaling>
        <c:delete val="0"/>
        <c:axPos val="l"/>
        <c:majorGridlines/>
        <c:numFmt formatCode="General" sourceLinked="1"/>
        <c:majorTickMark val="out"/>
        <c:minorTickMark val="none"/>
        <c:tickLblPos val="nextTo"/>
        <c:crossAx val="201832960"/>
        <c:crosses val="autoZero"/>
        <c:crossBetween val="between"/>
        <c:majorUnit val="1"/>
      </c:valAx>
    </c:plotArea>
    <c:plotVisOnly val="0"/>
    <c:dispBlanksAs val="gap"/>
    <c:showDLblsOverMax val="0"/>
  </c:chart>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Staff Sickness =&lt;3.98%</a:t>
            </a:r>
          </a:p>
        </c:rich>
      </c:tx>
      <c:overlay val="0"/>
    </c:title>
    <c:autoTitleDeleted val="0"/>
    <c:plotArea>
      <c:layout/>
      <c:lineChart>
        <c:grouping val="standard"/>
        <c:varyColors val="0"/>
        <c:ser>
          <c:idx val="0"/>
          <c:order val="0"/>
          <c:tx>
            <c:strRef>
              <c:f>'CSS Coversheet (CG)'!$A$3</c:f>
              <c:strCache>
                <c:ptCount val="1"/>
                <c:pt idx="0">
                  <c:v>Staff Sickness =&lt;3.7%</c:v>
                </c:pt>
              </c:strCache>
            </c:strRef>
          </c:tx>
          <c:marker>
            <c:symbol val="none"/>
          </c:marker>
          <c:cat>
            <c:strRef>
              <c:f>'CSS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'CSS Coversheet (CG)'!$D$3:$M$3</c:f>
              <c:numCache>
                <c:formatCode>General</c:formatCode>
                <c:ptCount val="10"/>
                <c:pt idx="0">
                  <c:v>3</c:v>
                </c:pt>
                <c:pt idx="1">
                  <c:v>3</c:v>
                </c:pt>
                <c:pt idx="2">
                  <c:v>3</c:v>
                </c:pt>
                <c:pt idx="3">
                  <c:v>3</c:v>
                </c:pt>
                <c:pt idx="4">
                  <c:v>3</c:v>
                </c:pt>
                <c:pt idx="5">
                  <c:v>0</c:v>
                </c:pt>
                <c:pt idx="6">
                  <c:v>0</c:v>
                </c:pt>
                <c:pt idx="7">
                  <c:v>0</c:v>
                </c:pt>
                <c:pt idx="8">
                  <c:v>0</c:v>
                </c:pt>
                <c:pt idx="9">
                  <c:v>0</c:v>
                </c:pt>
              </c:numCache>
            </c:numRef>
          </c:val>
          <c:smooth val="0"/>
          <c:extLst>
            <c:ext xmlns:c16="http://schemas.microsoft.com/office/drawing/2014/chart" uri="{C3380CC4-5D6E-409C-BE32-E72D297353CC}">
              <c16:uniqueId val="{00000000-FE96-4FA4-BE81-3AA26B5D3D66}"/>
            </c:ext>
          </c:extLst>
        </c:ser>
        <c:dLbls>
          <c:showLegendKey val="0"/>
          <c:showVal val="0"/>
          <c:showCatName val="0"/>
          <c:showSerName val="0"/>
          <c:showPercent val="0"/>
          <c:showBubbleSize val="0"/>
        </c:dLbls>
        <c:smooth val="0"/>
        <c:axId val="201211904"/>
        <c:axId val="201885376"/>
      </c:lineChart>
      <c:catAx>
        <c:axId val="201211904"/>
        <c:scaling>
          <c:orientation val="minMax"/>
        </c:scaling>
        <c:delete val="0"/>
        <c:axPos val="b"/>
        <c:numFmt formatCode="General" sourceLinked="0"/>
        <c:majorTickMark val="out"/>
        <c:minorTickMark val="none"/>
        <c:tickLblPos val="nextTo"/>
        <c:crossAx val="201885376"/>
        <c:crosses val="autoZero"/>
        <c:auto val="1"/>
        <c:lblAlgn val="ctr"/>
        <c:lblOffset val="100"/>
        <c:noMultiLvlLbl val="0"/>
      </c:catAx>
      <c:valAx>
        <c:axId val="201885376"/>
        <c:scaling>
          <c:orientation val="minMax"/>
          <c:max val="5"/>
        </c:scaling>
        <c:delete val="0"/>
        <c:axPos val="l"/>
        <c:majorGridlines/>
        <c:numFmt formatCode="General" sourceLinked="1"/>
        <c:majorTickMark val="out"/>
        <c:minorTickMark val="none"/>
        <c:tickLblPos val="nextTo"/>
        <c:crossAx val="201211904"/>
        <c:crosses val="autoZero"/>
        <c:crossBetween val="between"/>
        <c:majorUnit val="1"/>
      </c:valAx>
    </c:plotArea>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'CSS Coversheet (CG)'!$A$4</c:f>
              <c:strCache>
                <c:ptCount val="1"/>
                <c:pt idx="0">
                  <c:v>Staff Turnover &lt;10%</c:v>
                </c:pt>
              </c:strCache>
            </c:strRef>
          </c:tx>
          <c:marker>
            <c:symbol val="none"/>
          </c:marker>
          <c:cat>
            <c:strRef>
              <c:f>'CSS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'CSS Coversheet (CG)'!$D$4:$M$4</c:f>
              <c:numCache>
                <c:formatCode>General</c:formatCode>
                <c:ptCount val="10"/>
                <c:pt idx="0">
                  <c:v>5</c:v>
                </c:pt>
                <c:pt idx="1">
                  <c:v>5</c:v>
                </c:pt>
                <c:pt idx="2">
                  <c:v>5</c:v>
                </c:pt>
                <c:pt idx="3">
                  <c:v>5</c:v>
                </c:pt>
                <c:pt idx="4">
                  <c:v>5</c:v>
                </c:pt>
                <c:pt idx="5">
                  <c:v>5</c:v>
                </c:pt>
                <c:pt idx="6">
                  <c:v>5</c:v>
                </c:pt>
                <c:pt idx="7">
                  <c:v>5</c:v>
                </c:pt>
                <c:pt idx="8">
                  <c:v>5</c:v>
                </c:pt>
                <c:pt idx="9">
                  <c:v>5</c:v>
                </c:pt>
              </c:numCache>
            </c:numRef>
          </c:val>
          <c:smooth val="0"/>
          <c:extLst>
            <c:ext xmlns:c16="http://schemas.microsoft.com/office/drawing/2014/chart" uri="{C3380CC4-5D6E-409C-BE32-E72D297353CC}">
              <c16:uniqueId val="{00000000-1CD3-425D-AFA6-D310B20F93E6}"/>
            </c:ext>
          </c:extLst>
        </c:ser>
        <c:dLbls>
          <c:showLegendKey val="0"/>
          <c:showVal val="0"/>
          <c:showCatName val="0"/>
          <c:showSerName val="0"/>
          <c:showPercent val="0"/>
          <c:showBubbleSize val="0"/>
        </c:dLbls>
        <c:smooth val="0"/>
        <c:axId val="201213440"/>
        <c:axId val="201887104"/>
      </c:lineChart>
      <c:catAx>
        <c:axId val="201213440"/>
        <c:scaling>
          <c:orientation val="minMax"/>
        </c:scaling>
        <c:delete val="0"/>
        <c:axPos val="b"/>
        <c:numFmt formatCode="General" sourceLinked="0"/>
        <c:majorTickMark val="out"/>
        <c:minorTickMark val="none"/>
        <c:tickLblPos val="nextTo"/>
        <c:crossAx val="201887104"/>
        <c:crosses val="autoZero"/>
        <c:auto val="1"/>
        <c:lblAlgn val="ctr"/>
        <c:lblOffset val="100"/>
        <c:noMultiLvlLbl val="0"/>
      </c:catAx>
      <c:valAx>
        <c:axId val="201887104"/>
        <c:scaling>
          <c:orientation val="minMax"/>
          <c:max val="6"/>
          <c:min val="0"/>
        </c:scaling>
        <c:delete val="0"/>
        <c:axPos val="l"/>
        <c:majorGridlines/>
        <c:numFmt formatCode="General" sourceLinked="1"/>
        <c:majorTickMark val="out"/>
        <c:minorTickMark val="none"/>
        <c:tickLblPos val="nextTo"/>
        <c:crossAx val="201213440"/>
        <c:crosses val="autoZero"/>
        <c:crossBetween val="between"/>
        <c:majorUnit val="1"/>
      </c:valAx>
    </c:plotArea>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'CSS Coversheet (CG)'!$A$5</c:f>
              <c:strCache>
                <c:ptCount val="1"/>
                <c:pt idx="0">
                  <c:v>Recommend as a place to work =&gt;67% </c:v>
                </c:pt>
              </c:strCache>
            </c:strRef>
          </c:tx>
          <c:marker>
            <c:symbol val="none"/>
          </c:marker>
          <c:cat>
            <c:strRef>
              <c:f>'CSS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'CSS Coversheet (CG)'!$D$5:$M$5</c:f>
              <c:numCache>
                <c:formatCode>0.00%</c:formatCode>
                <c:ptCount val="10"/>
                <c:pt idx="0">
                  <c:v>0.6</c:v>
                </c:pt>
                <c:pt idx="1">
                  <c:v>0.6</c:v>
                </c:pt>
                <c:pt idx="2">
                  <c:v>0.4</c:v>
                </c:pt>
                <c:pt idx="3">
                  <c:v>0.6</c:v>
                </c:pt>
                <c:pt idx="4">
                  <c:v>0.2</c:v>
                </c:pt>
                <c:pt idx="5">
                  <c:v>0.2</c:v>
                </c:pt>
                <c:pt idx="6">
                  <c:v>0.2</c:v>
                </c:pt>
                <c:pt idx="7">
                  <c:v>0</c:v>
                </c:pt>
                <c:pt idx="8">
                  <c:v>0</c:v>
                </c:pt>
                <c:pt idx="9">
                  <c:v>0</c:v>
                </c:pt>
              </c:numCache>
            </c:numRef>
          </c:val>
          <c:smooth val="0"/>
          <c:extLst>
            <c:ext xmlns:c16="http://schemas.microsoft.com/office/drawing/2014/chart" uri="{C3380CC4-5D6E-409C-BE32-E72D297353CC}">
              <c16:uniqueId val="{00000000-9CD6-447B-AFA3-039D3BC6CE53}"/>
            </c:ext>
          </c:extLst>
        </c:ser>
        <c:dLbls>
          <c:showLegendKey val="0"/>
          <c:showVal val="0"/>
          <c:showCatName val="0"/>
          <c:showSerName val="0"/>
          <c:showPercent val="0"/>
          <c:showBubbleSize val="0"/>
        </c:dLbls>
        <c:smooth val="0"/>
        <c:axId val="201214464"/>
        <c:axId val="201888832"/>
      </c:lineChart>
      <c:catAx>
        <c:axId val="201214464"/>
        <c:scaling>
          <c:orientation val="minMax"/>
        </c:scaling>
        <c:delete val="0"/>
        <c:axPos val="b"/>
        <c:numFmt formatCode="General" sourceLinked="0"/>
        <c:majorTickMark val="out"/>
        <c:minorTickMark val="none"/>
        <c:tickLblPos val="nextTo"/>
        <c:crossAx val="201888832"/>
        <c:crosses val="autoZero"/>
        <c:auto val="1"/>
        <c:lblAlgn val="ctr"/>
        <c:lblOffset val="100"/>
        <c:noMultiLvlLbl val="0"/>
      </c:catAx>
      <c:valAx>
        <c:axId val="201888832"/>
        <c:scaling>
          <c:orientation val="minMax"/>
          <c:max val="1"/>
          <c:min val="0"/>
        </c:scaling>
        <c:delete val="0"/>
        <c:axPos val="l"/>
        <c:majorGridlines/>
        <c:numFmt formatCode="0.00%" sourceLinked="1"/>
        <c:majorTickMark val="out"/>
        <c:minorTickMark val="none"/>
        <c:tickLblPos val="nextTo"/>
        <c:crossAx val="201214464"/>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Recommend as a place to be treated =&gt;67%</a:t>
            </a:r>
          </a:p>
        </c:rich>
      </c:tx>
      <c:overlay val="0"/>
    </c:title>
    <c:autoTitleDeleted val="0"/>
    <c:plotArea>
      <c:layout/>
      <c:lineChart>
        <c:grouping val="standard"/>
        <c:varyColors val="0"/>
        <c:ser>
          <c:idx val="0"/>
          <c:order val="0"/>
          <c:tx>
            <c:strRef>
              <c:f>'CSS Coversheet (CG)'!$A$6</c:f>
              <c:strCache>
                <c:ptCount val="1"/>
                <c:pt idx="0">
                  <c:v>Recommend as a place to be treated =67%</c:v>
                </c:pt>
              </c:strCache>
            </c:strRef>
          </c:tx>
          <c:marker>
            <c:symbol val="none"/>
          </c:marker>
          <c:cat>
            <c:strRef>
              <c:f>'CSS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'CSS Coversheet (CG)'!$D$6:$M$6</c:f>
              <c:numCache>
                <c:formatCode>0.00%</c:formatCode>
                <c:ptCount val="10"/>
                <c:pt idx="0">
                  <c:v>0.8</c:v>
                </c:pt>
                <c:pt idx="1">
                  <c:v>0.8</c:v>
                </c:pt>
                <c:pt idx="2">
                  <c:v>0.8</c:v>
                </c:pt>
                <c:pt idx="3">
                  <c:v>0.8</c:v>
                </c:pt>
                <c:pt idx="4">
                  <c:v>0.6</c:v>
                </c:pt>
                <c:pt idx="5">
                  <c:v>0.6</c:v>
                </c:pt>
                <c:pt idx="6">
                  <c:v>0.2</c:v>
                </c:pt>
                <c:pt idx="7">
                  <c:v>0</c:v>
                </c:pt>
                <c:pt idx="8">
                  <c:v>0.4</c:v>
                </c:pt>
                <c:pt idx="9">
                  <c:v>0.2</c:v>
                </c:pt>
              </c:numCache>
            </c:numRef>
          </c:val>
          <c:smooth val="0"/>
          <c:extLst>
            <c:ext xmlns:c16="http://schemas.microsoft.com/office/drawing/2014/chart" uri="{C3380CC4-5D6E-409C-BE32-E72D297353CC}">
              <c16:uniqueId val="{00000000-13CF-40B5-A7D1-D4D730BA915A}"/>
            </c:ext>
          </c:extLst>
        </c:ser>
        <c:dLbls>
          <c:showLegendKey val="0"/>
          <c:showVal val="0"/>
          <c:showCatName val="0"/>
          <c:showSerName val="0"/>
          <c:showPercent val="0"/>
          <c:showBubbleSize val="0"/>
        </c:dLbls>
        <c:smooth val="0"/>
        <c:axId val="201215488"/>
        <c:axId val="201890560"/>
      </c:lineChart>
      <c:catAx>
        <c:axId val="201215488"/>
        <c:scaling>
          <c:orientation val="minMax"/>
        </c:scaling>
        <c:delete val="0"/>
        <c:axPos val="b"/>
        <c:numFmt formatCode="General" sourceLinked="1"/>
        <c:majorTickMark val="out"/>
        <c:minorTickMark val="none"/>
        <c:tickLblPos val="nextTo"/>
        <c:crossAx val="201890560"/>
        <c:crosses val="autoZero"/>
        <c:auto val="1"/>
        <c:lblAlgn val="ctr"/>
        <c:lblOffset val="100"/>
        <c:noMultiLvlLbl val="0"/>
      </c:catAx>
      <c:valAx>
        <c:axId val="201890560"/>
        <c:scaling>
          <c:orientation val="minMax"/>
          <c:max val="1"/>
          <c:min val="0"/>
        </c:scaling>
        <c:delete val="0"/>
        <c:axPos val="l"/>
        <c:majorGridlines/>
        <c:numFmt formatCode="0.00%" sourceLinked="1"/>
        <c:majorTickMark val="out"/>
        <c:minorTickMark val="none"/>
        <c:tickLblPos val="nextTo"/>
        <c:crossAx val="201215488"/>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Local PULSE questions average</a:t>
            </a:r>
          </a:p>
          <a:p>
            <a:pPr>
              <a:defRPr sz="1200"/>
            </a:pPr>
            <a:r>
              <a:rPr lang="en-US"/>
              <a:t> (exclude ‘recommenders’) =&gt;67% </a:t>
            </a:r>
          </a:p>
        </c:rich>
      </c:tx>
      <c:overlay val="0"/>
    </c:title>
    <c:autoTitleDeleted val="0"/>
    <c:plotArea>
      <c:layout/>
      <c:lineChart>
        <c:grouping val="standard"/>
        <c:varyColors val="0"/>
        <c:ser>
          <c:idx val="0"/>
          <c:order val="0"/>
          <c:tx>
            <c:strRef>
              <c:f>'CSS Coversheet (CG)'!$A$7</c:f>
              <c:strCache>
                <c:ptCount val="1"/>
                <c:pt idx="0">
                  <c:v>Local PULSE questions (exclude ‘recommenders’) =&gt;67% </c:v>
                </c:pt>
              </c:strCache>
            </c:strRef>
          </c:tx>
          <c:spPr>
            <a:ln>
              <a:solidFill>
                <a:schemeClr val="accent1"/>
              </a:solidFill>
            </a:ln>
          </c:spPr>
          <c:marker>
            <c:symbol val="none"/>
          </c:marker>
          <c:cat>
            <c:strRef>
              <c:f>'CSS Coversheet (CG)'!$D$1:$M$1</c:f>
              <c:strCache>
                <c:ptCount val="10"/>
                <c:pt idx="0">
                  <c:v>Q1. 2020.21</c:v>
                </c:pt>
                <c:pt idx="1">
                  <c:v>Q2. 2020.21</c:v>
                </c:pt>
                <c:pt idx="2">
                  <c:v>Q3. 2020.21</c:v>
                </c:pt>
                <c:pt idx="3">
                  <c:v>Q4. 2020.21</c:v>
                </c:pt>
                <c:pt idx="4">
                  <c:v>Q1. 2021.22</c:v>
                </c:pt>
                <c:pt idx="5">
                  <c:v>Q2. 2021.22</c:v>
                </c:pt>
                <c:pt idx="6">
                  <c:v>Q3. 2021.22</c:v>
                </c:pt>
                <c:pt idx="7">
                  <c:v>Q4 2021.22</c:v>
                </c:pt>
                <c:pt idx="8">
                  <c:v>Q1. 2022.23</c:v>
                </c:pt>
                <c:pt idx="9">
                  <c:v>Q2. 2022.23</c:v>
                </c:pt>
              </c:strCache>
            </c:strRef>
          </c:cat>
          <c:val>
            <c:numRef>
              <c:f>'CSS Coversheet (CG)'!$D$7:$M$7</c:f>
              <c:numCache>
                <c:formatCode>0.00%</c:formatCode>
                <c:ptCount val="10"/>
                <c:pt idx="0">
                  <c:v>0.4</c:v>
                </c:pt>
                <c:pt idx="1">
                  <c:v>0.4</c:v>
                </c:pt>
                <c:pt idx="2">
                  <c:v>0.4</c:v>
                </c:pt>
                <c:pt idx="3">
                  <c:v>0.4</c:v>
                </c:pt>
                <c:pt idx="4">
                  <c:v>0</c:v>
                </c:pt>
                <c:pt idx="5">
                  <c:v>0.2</c:v>
                </c:pt>
                <c:pt idx="6">
                  <c:v>0</c:v>
                </c:pt>
                <c:pt idx="7">
                  <c:v>0</c:v>
                </c:pt>
                <c:pt idx="8">
                  <c:v>0</c:v>
                </c:pt>
                <c:pt idx="9">
                  <c:v>0</c:v>
                </c:pt>
              </c:numCache>
            </c:numRef>
          </c:val>
          <c:smooth val="0"/>
          <c:extLst>
            <c:ext xmlns:c16="http://schemas.microsoft.com/office/drawing/2014/chart" uri="{C3380CC4-5D6E-409C-BE32-E72D297353CC}">
              <c16:uniqueId val="{00000000-C7DD-4018-B4DB-00E700B535F2}"/>
            </c:ext>
          </c:extLst>
        </c:ser>
        <c:dLbls>
          <c:showLegendKey val="0"/>
          <c:showVal val="0"/>
          <c:showCatName val="0"/>
          <c:showSerName val="0"/>
          <c:showPercent val="0"/>
          <c:showBubbleSize val="0"/>
        </c:dLbls>
        <c:smooth val="0"/>
        <c:axId val="201376256"/>
        <c:axId val="201303168"/>
      </c:lineChart>
      <c:catAx>
        <c:axId val="201376256"/>
        <c:scaling>
          <c:orientation val="minMax"/>
        </c:scaling>
        <c:delete val="0"/>
        <c:axPos val="b"/>
        <c:numFmt formatCode="General" sourceLinked="0"/>
        <c:majorTickMark val="out"/>
        <c:minorTickMark val="none"/>
        <c:tickLblPos val="nextTo"/>
        <c:crossAx val="201303168"/>
        <c:crosses val="autoZero"/>
        <c:auto val="1"/>
        <c:lblAlgn val="ctr"/>
        <c:lblOffset val="100"/>
        <c:noMultiLvlLbl val="0"/>
      </c:catAx>
      <c:valAx>
        <c:axId val="201303168"/>
        <c:scaling>
          <c:orientation val="minMax"/>
          <c:max val="1"/>
          <c:min val="0"/>
        </c:scaling>
        <c:delete val="0"/>
        <c:axPos val="l"/>
        <c:majorGridlines/>
        <c:numFmt formatCode="0.00%" sourceLinked="1"/>
        <c:majorTickMark val="out"/>
        <c:minorTickMark val="none"/>
        <c:tickLblPos val="nextTo"/>
        <c:crossAx val="201376256"/>
        <c:crosses val="autoZero"/>
        <c:crossBetween val="between"/>
        <c:majorUnit val="0.2"/>
      </c:valAx>
    </c:plotArea>
    <c:plotVisOnly val="0"/>
    <c:dispBlanksAs val="span"/>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'CID Coversheet (CG)'!$A$2</c:f>
              <c:strCache>
                <c:ptCount val="1"/>
                <c:pt idx="0">
                  <c:v>Managers Accountability =&gt;90%</c:v>
                </c:pt>
              </c:strCache>
            </c:strRef>
          </c:tx>
          <c:spPr>
            <a:ln>
              <a:solidFill>
                <a:schemeClr val="accent1"/>
              </a:solidFill>
            </a:ln>
          </c:spPr>
          <c:marker>
            <c:symbol val="none"/>
          </c:marker>
          <c:cat>
            <c:strRef>
              <c:f>'CID Coversheet (CG)'!$D$1:$H$1</c:f>
              <c:strCache>
                <c:ptCount val="5"/>
                <c:pt idx="0">
                  <c:v>Q1. 2020.21</c:v>
                </c:pt>
                <c:pt idx="1">
                  <c:v>Q2. 2020.21</c:v>
                </c:pt>
                <c:pt idx="2">
                  <c:v>Q3. 2020.21</c:v>
                </c:pt>
                <c:pt idx="3">
                  <c:v>Q4. 2020.21</c:v>
                </c:pt>
                <c:pt idx="4">
                  <c:v>Q1. 2021.22</c:v>
                </c:pt>
              </c:strCache>
            </c:strRef>
          </c:cat>
          <c:val>
            <c:numRef>
              <c:f>'CID Coversheet (CG)'!$D$2:$H$2</c:f>
              <c:numCache>
                <c:formatCode>General</c:formatCode>
                <c:ptCount val="5"/>
                <c:pt idx="0">
                  <c:v>0</c:v>
                </c:pt>
                <c:pt idx="1">
                  <c:v>0</c:v>
                </c:pt>
                <c:pt idx="2">
                  <c:v>1</c:v>
                </c:pt>
                <c:pt idx="3">
                  <c:v>1</c:v>
                </c:pt>
                <c:pt idx="4">
                  <c:v>1</c:v>
                </c:pt>
              </c:numCache>
            </c:numRef>
          </c:val>
          <c:smooth val="0"/>
          <c:extLst>
            <c:ext xmlns:c16="http://schemas.microsoft.com/office/drawing/2014/chart" uri="{C3380CC4-5D6E-409C-BE32-E72D297353CC}">
              <c16:uniqueId val="{00000000-1E2A-41F5-9BB9-2F0AE71DB2FF}"/>
            </c:ext>
          </c:extLst>
        </c:ser>
        <c:dLbls>
          <c:showLegendKey val="0"/>
          <c:showVal val="0"/>
          <c:showCatName val="0"/>
          <c:showSerName val="0"/>
          <c:showPercent val="0"/>
          <c:showBubbleSize val="0"/>
        </c:dLbls>
        <c:smooth val="0"/>
        <c:axId val="126019584"/>
        <c:axId val="201304320"/>
      </c:lineChart>
      <c:catAx>
        <c:axId val="126019584"/>
        <c:scaling>
          <c:orientation val="minMax"/>
        </c:scaling>
        <c:delete val="0"/>
        <c:axPos val="b"/>
        <c:numFmt formatCode="General" sourceLinked="0"/>
        <c:majorTickMark val="out"/>
        <c:minorTickMark val="none"/>
        <c:tickLblPos val="nextTo"/>
        <c:crossAx val="201304320"/>
        <c:crosses val="autoZero"/>
        <c:auto val="1"/>
        <c:lblAlgn val="ctr"/>
        <c:lblOffset val="100"/>
        <c:noMultiLvlLbl val="0"/>
      </c:catAx>
      <c:valAx>
        <c:axId val="201304320"/>
        <c:scaling>
          <c:orientation val="minMax"/>
          <c:max val="5"/>
        </c:scaling>
        <c:delete val="0"/>
        <c:axPos val="l"/>
        <c:majorGridlines/>
        <c:numFmt formatCode="General" sourceLinked="1"/>
        <c:majorTickMark val="out"/>
        <c:minorTickMark val="none"/>
        <c:tickLblPos val="nextTo"/>
        <c:crossAx val="126019584"/>
        <c:crosses val="autoZero"/>
        <c:crossBetween val="between"/>
        <c:majorUnit val="1"/>
      </c:valAx>
    </c:plotArea>
    <c:plotVisOnly val="0"/>
    <c:dispBlanksAs val="gap"/>
    <c:showDLblsOverMax val="0"/>
  </c:chart>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Staff Sickness =&lt;3.98%</a:t>
            </a:r>
          </a:p>
        </c:rich>
      </c:tx>
      <c:overlay val="0"/>
    </c:title>
    <c:autoTitleDeleted val="0"/>
    <c:plotArea>
      <c:layout/>
      <c:lineChart>
        <c:grouping val="standard"/>
        <c:varyColors val="0"/>
        <c:ser>
          <c:idx val="0"/>
          <c:order val="0"/>
          <c:tx>
            <c:strRef>
              <c:f>'CID Coversheet (CG)'!$A$3</c:f>
              <c:strCache>
                <c:ptCount val="1"/>
                <c:pt idx="0">
                  <c:v>Staff Sickness =&lt;3.7%</c:v>
                </c:pt>
              </c:strCache>
            </c:strRef>
          </c:tx>
          <c:marker>
            <c:symbol val="none"/>
          </c:marker>
          <c:cat>
            <c:strRef>
              <c:f>'CID Coversheet (CG)'!$D$1:$H$1</c:f>
              <c:strCache>
                <c:ptCount val="5"/>
                <c:pt idx="0">
                  <c:v>Q1. 2020.21</c:v>
                </c:pt>
                <c:pt idx="1">
                  <c:v>Q2. 2020.21</c:v>
                </c:pt>
                <c:pt idx="2">
                  <c:v>Q3. 2020.21</c:v>
                </c:pt>
                <c:pt idx="3">
                  <c:v>Q4. 2020.21</c:v>
                </c:pt>
                <c:pt idx="4">
                  <c:v>Q1. 2021.22</c:v>
                </c:pt>
              </c:strCache>
            </c:strRef>
          </c:cat>
          <c:val>
            <c:numRef>
              <c:f>'CID Coversheet (CG)'!$D$3:$H$3</c:f>
              <c:numCache>
                <c:formatCode>General</c:formatCode>
                <c:ptCount val="5"/>
                <c:pt idx="0">
                  <c:v>2</c:v>
                </c:pt>
                <c:pt idx="1">
                  <c:v>1</c:v>
                </c:pt>
                <c:pt idx="2">
                  <c:v>0</c:v>
                </c:pt>
                <c:pt idx="3">
                  <c:v>1</c:v>
                </c:pt>
                <c:pt idx="4">
                  <c:v>1</c:v>
                </c:pt>
              </c:numCache>
            </c:numRef>
          </c:val>
          <c:smooth val="0"/>
          <c:extLst>
            <c:ext xmlns:c16="http://schemas.microsoft.com/office/drawing/2014/chart" uri="{C3380CC4-5D6E-409C-BE32-E72D297353CC}">
              <c16:uniqueId val="{00000000-A422-41B3-8E3A-0437E8E978DF}"/>
            </c:ext>
          </c:extLst>
        </c:ser>
        <c:dLbls>
          <c:showLegendKey val="0"/>
          <c:showVal val="0"/>
          <c:showCatName val="0"/>
          <c:showSerName val="0"/>
          <c:showPercent val="0"/>
          <c:showBubbleSize val="0"/>
        </c:dLbls>
        <c:smooth val="0"/>
        <c:axId val="126021120"/>
        <c:axId val="201307776"/>
      </c:lineChart>
      <c:catAx>
        <c:axId val="126021120"/>
        <c:scaling>
          <c:orientation val="minMax"/>
        </c:scaling>
        <c:delete val="0"/>
        <c:axPos val="b"/>
        <c:numFmt formatCode="General" sourceLinked="0"/>
        <c:majorTickMark val="out"/>
        <c:minorTickMark val="none"/>
        <c:tickLblPos val="nextTo"/>
        <c:crossAx val="201307776"/>
        <c:crosses val="autoZero"/>
        <c:auto val="1"/>
        <c:lblAlgn val="ctr"/>
        <c:lblOffset val="100"/>
        <c:noMultiLvlLbl val="0"/>
      </c:catAx>
      <c:valAx>
        <c:axId val="201307776"/>
        <c:scaling>
          <c:orientation val="minMax"/>
          <c:max val="5"/>
        </c:scaling>
        <c:delete val="0"/>
        <c:axPos val="l"/>
        <c:majorGridlines/>
        <c:numFmt formatCode="General" sourceLinked="1"/>
        <c:majorTickMark val="out"/>
        <c:minorTickMark val="none"/>
        <c:tickLblPos val="nextTo"/>
        <c:crossAx val="126021120"/>
        <c:crosses val="autoZero"/>
        <c:crossBetween val="between"/>
        <c:majorUnit val="1"/>
      </c:valAx>
    </c:plotArea>
    <c:plotVisOnly val="0"/>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'CID Coversheet (CG)'!$A$4</c:f>
              <c:strCache>
                <c:ptCount val="1"/>
                <c:pt idx="0">
                  <c:v>Staff Turnover &lt;10%</c:v>
                </c:pt>
              </c:strCache>
            </c:strRef>
          </c:tx>
          <c:marker>
            <c:symbol val="none"/>
          </c:marker>
          <c:cat>
            <c:strRef>
              <c:f>'CID Coversheet (CG)'!$D$1:$H$1</c:f>
              <c:strCache>
                <c:ptCount val="5"/>
                <c:pt idx="0">
                  <c:v>Q1. 2020.21</c:v>
                </c:pt>
                <c:pt idx="1">
                  <c:v>Q2. 2020.21</c:v>
                </c:pt>
                <c:pt idx="2">
                  <c:v>Q3. 2020.21</c:v>
                </c:pt>
                <c:pt idx="3">
                  <c:v>Q4. 2020.21</c:v>
                </c:pt>
                <c:pt idx="4">
                  <c:v>Q1. 2021.22</c:v>
                </c:pt>
              </c:strCache>
            </c:strRef>
          </c:cat>
          <c:val>
            <c:numRef>
              <c:f>'CID Coversheet (CG)'!$D$4:$H$4</c:f>
              <c:numCache>
                <c:formatCode>General</c:formatCode>
                <c:ptCount val="5"/>
                <c:pt idx="0">
                  <c:v>5</c:v>
                </c:pt>
                <c:pt idx="1">
                  <c:v>5</c:v>
                </c:pt>
                <c:pt idx="2">
                  <c:v>5</c:v>
                </c:pt>
                <c:pt idx="3">
                  <c:v>5</c:v>
                </c:pt>
                <c:pt idx="4">
                  <c:v>5</c:v>
                </c:pt>
              </c:numCache>
            </c:numRef>
          </c:val>
          <c:smooth val="0"/>
          <c:extLst>
            <c:ext xmlns:c16="http://schemas.microsoft.com/office/drawing/2014/chart" uri="{C3380CC4-5D6E-409C-BE32-E72D297353CC}">
              <c16:uniqueId val="{00000000-A293-4C74-9037-35173CF32B5B}"/>
            </c:ext>
          </c:extLst>
        </c:ser>
        <c:dLbls>
          <c:showLegendKey val="0"/>
          <c:showVal val="0"/>
          <c:showCatName val="0"/>
          <c:showSerName val="0"/>
          <c:showPercent val="0"/>
          <c:showBubbleSize val="0"/>
        </c:dLbls>
        <c:smooth val="0"/>
        <c:axId val="126476800"/>
        <c:axId val="201309504"/>
      </c:lineChart>
      <c:catAx>
        <c:axId val="126476800"/>
        <c:scaling>
          <c:orientation val="minMax"/>
        </c:scaling>
        <c:delete val="0"/>
        <c:axPos val="b"/>
        <c:numFmt formatCode="General" sourceLinked="0"/>
        <c:majorTickMark val="out"/>
        <c:minorTickMark val="none"/>
        <c:tickLblPos val="nextTo"/>
        <c:crossAx val="201309504"/>
        <c:crosses val="autoZero"/>
        <c:auto val="1"/>
        <c:lblAlgn val="ctr"/>
        <c:lblOffset val="100"/>
        <c:noMultiLvlLbl val="0"/>
      </c:catAx>
      <c:valAx>
        <c:axId val="201309504"/>
        <c:scaling>
          <c:orientation val="minMax"/>
          <c:max val="5"/>
          <c:min val="0"/>
        </c:scaling>
        <c:delete val="0"/>
        <c:axPos val="l"/>
        <c:majorGridlines/>
        <c:numFmt formatCode="General" sourceLinked="1"/>
        <c:majorTickMark val="out"/>
        <c:minorTickMark val="none"/>
        <c:tickLblPos val="nextTo"/>
        <c:crossAx val="126476800"/>
        <c:crosses val="autoZero"/>
        <c:crossBetween val="between"/>
        <c:majorUnit val="1"/>
      </c:valAx>
    </c:plotArea>
    <c:plotVisOnly val="0"/>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lineChart>
        <c:grouping val="standard"/>
        <c:varyColors val="0"/>
        <c:ser>
          <c:idx val="0"/>
          <c:order val="0"/>
          <c:tx>
            <c:strRef>
              <c:f>'CID Coversheet (CG)'!$A$5</c:f>
              <c:strCache>
                <c:ptCount val="1"/>
                <c:pt idx="0">
                  <c:v>Recommend as a place to work =&gt;67% </c:v>
                </c:pt>
              </c:strCache>
            </c:strRef>
          </c:tx>
          <c:marker>
            <c:symbol val="none"/>
          </c:marker>
          <c:cat>
            <c:strRef>
              <c:f>'CID Coversheet (CG)'!$D$1:$H$1</c:f>
              <c:strCache>
                <c:ptCount val="5"/>
                <c:pt idx="0">
                  <c:v>Q1. 2020.21</c:v>
                </c:pt>
                <c:pt idx="1">
                  <c:v>Q2. 2020.21</c:v>
                </c:pt>
                <c:pt idx="2">
                  <c:v>Q3. 2020.21</c:v>
                </c:pt>
                <c:pt idx="3">
                  <c:v>Q4. 2020.21</c:v>
                </c:pt>
                <c:pt idx="4">
                  <c:v>Q1. 2021.22</c:v>
                </c:pt>
              </c:strCache>
            </c:strRef>
          </c:cat>
          <c:val>
            <c:numRef>
              <c:f>'CID Coversheet (CG)'!$D$5:$H$5</c:f>
              <c:numCache>
                <c:formatCode>General</c:formatCode>
                <c:ptCount val="5"/>
                <c:pt idx="0">
                  <c:v>3</c:v>
                </c:pt>
                <c:pt idx="1">
                  <c:v>3</c:v>
                </c:pt>
                <c:pt idx="2">
                  <c:v>2</c:v>
                </c:pt>
                <c:pt idx="3">
                  <c:v>5</c:v>
                </c:pt>
                <c:pt idx="4">
                  <c:v>2</c:v>
                </c:pt>
              </c:numCache>
            </c:numRef>
          </c:val>
          <c:smooth val="0"/>
          <c:extLst>
            <c:ext xmlns:c16="http://schemas.microsoft.com/office/drawing/2014/chart" uri="{C3380CC4-5D6E-409C-BE32-E72D297353CC}">
              <c16:uniqueId val="{00000000-53E6-4A0E-B2D4-227099045A1F}"/>
            </c:ext>
          </c:extLst>
        </c:ser>
        <c:dLbls>
          <c:showLegendKey val="0"/>
          <c:showVal val="0"/>
          <c:showCatName val="0"/>
          <c:showSerName val="0"/>
          <c:showPercent val="0"/>
          <c:showBubbleSize val="0"/>
        </c:dLbls>
        <c:smooth val="0"/>
        <c:axId val="126477824"/>
        <c:axId val="126518400"/>
      </c:lineChart>
      <c:catAx>
        <c:axId val="126477824"/>
        <c:scaling>
          <c:orientation val="minMax"/>
        </c:scaling>
        <c:delete val="0"/>
        <c:axPos val="b"/>
        <c:numFmt formatCode="General" sourceLinked="0"/>
        <c:majorTickMark val="out"/>
        <c:minorTickMark val="none"/>
        <c:tickLblPos val="nextTo"/>
        <c:crossAx val="126518400"/>
        <c:crosses val="autoZero"/>
        <c:auto val="1"/>
        <c:lblAlgn val="ctr"/>
        <c:lblOffset val="100"/>
        <c:noMultiLvlLbl val="0"/>
      </c:catAx>
      <c:valAx>
        <c:axId val="126518400"/>
        <c:scaling>
          <c:orientation val="minMax"/>
          <c:max val="5"/>
          <c:min val="0"/>
        </c:scaling>
        <c:delete val="0"/>
        <c:axPos val="l"/>
        <c:majorGridlines/>
        <c:numFmt formatCode="General" sourceLinked="1"/>
        <c:majorTickMark val="out"/>
        <c:minorTickMark val="none"/>
        <c:tickLblPos val="nextTo"/>
        <c:crossAx val="126477824"/>
        <c:crosses val="autoZero"/>
        <c:crossBetween val="between"/>
        <c:majorUnit val="1"/>
      </c:valAx>
    </c:plotArea>
    <c:plotVisOnly val="0"/>
    <c:dispBlanksAs val="span"/>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Recommend as a place to be treated =&gt;67%</a:t>
            </a:r>
          </a:p>
        </c:rich>
      </c:tx>
      <c:overlay val="0"/>
    </c:title>
    <c:autoTitleDeleted val="0"/>
    <c:plotArea>
      <c:layout/>
      <c:lineChart>
        <c:grouping val="standard"/>
        <c:varyColors val="0"/>
        <c:ser>
          <c:idx val="0"/>
          <c:order val="0"/>
          <c:tx>
            <c:strRef>
              <c:f>'CID Coversheet (CG)'!$A$6</c:f>
              <c:strCache>
                <c:ptCount val="1"/>
                <c:pt idx="0">
                  <c:v>Recommend as a place to be treated =67%</c:v>
                </c:pt>
              </c:strCache>
            </c:strRef>
          </c:tx>
          <c:marker>
            <c:symbol val="none"/>
          </c:marker>
          <c:cat>
            <c:strRef>
              <c:f>'CID Coversheet (CG)'!$D$1:$H$1</c:f>
              <c:strCache>
                <c:ptCount val="5"/>
                <c:pt idx="0">
                  <c:v>Q1. 2020.21</c:v>
                </c:pt>
                <c:pt idx="1">
                  <c:v>Q2. 2020.21</c:v>
                </c:pt>
                <c:pt idx="2">
                  <c:v>Q3. 2020.21</c:v>
                </c:pt>
                <c:pt idx="3">
                  <c:v>Q4. 2020.21</c:v>
                </c:pt>
                <c:pt idx="4">
                  <c:v>Q1. 2021.22</c:v>
                </c:pt>
              </c:strCache>
            </c:strRef>
          </c:cat>
          <c:val>
            <c:numRef>
              <c:f>'CID Coversheet (CG)'!$D$6:$H$6</c:f>
              <c:numCache>
                <c:formatCode>General</c:formatCode>
                <c:ptCount val="5"/>
                <c:pt idx="0">
                  <c:v>4</c:v>
                </c:pt>
                <c:pt idx="1">
                  <c:v>4</c:v>
                </c:pt>
                <c:pt idx="2">
                  <c:v>4</c:v>
                </c:pt>
                <c:pt idx="3">
                  <c:v>5</c:v>
                </c:pt>
                <c:pt idx="4">
                  <c:v>4</c:v>
                </c:pt>
              </c:numCache>
            </c:numRef>
          </c:val>
          <c:smooth val="0"/>
          <c:extLst>
            <c:ext xmlns:c16="http://schemas.microsoft.com/office/drawing/2014/chart" uri="{C3380CC4-5D6E-409C-BE32-E72D297353CC}">
              <c16:uniqueId val="{00000000-FF41-4030-B88C-DE3287265C38}"/>
            </c:ext>
          </c:extLst>
        </c:ser>
        <c:dLbls>
          <c:showLegendKey val="0"/>
          <c:showVal val="0"/>
          <c:showCatName val="0"/>
          <c:showSerName val="0"/>
          <c:showPercent val="0"/>
          <c:showBubbleSize val="0"/>
        </c:dLbls>
        <c:smooth val="0"/>
        <c:axId val="126478848"/>
        <c:axId val="126521280"/>
      </c:lineChart>
      <c:catAx>
        <c:axId val="126478848"/>
        <c:scaling>
          <c:orientation val="minMax"/>
        </c:scaling>
        <c:delete val="0"/>
        <c:axPos val="b"/>
        <c:numFmt formatCode="General" sourceLinked="1"/>
        <c:majorTickMark val="out"/>
        <c:minorTickMark val="none"/>
        <c:tickLblPos val="nextTo"/>
        <c:crossAx val="126521280"/>
        <c:crosses val="autoZero"/>
        <c:auto val="1"/>
        <c:lblAlgn val="ctr"/>
        <c:lblOffset val="100"/>
        <c:noMultiLvlLbl val="0"/>
      </c:catAx>
      <c:valAx>
        <c:axId val="126521280"/>
        <c:scaling>
          <c:orientation val="minMax"/>
          <c:max val="5"/>
          <c:min val="0"/>
        </c:scaling>
        <c:delete val="0"/>
        <c:axPos val="l"/>
        <c:majorGridlines/>
        <c:numFmt formatCode="General" sourceLinked="1"/>
        <c:majorTickMark val="out"/>
        <c:minorTickMark val="none"/>
        <c:tickLblPos val="nextTo"/>
        <c:crossAx val="126478848"/>
        <c:crosses val="autoZero"/>
        <c:crossBetween val="between"/>
        <c:majorUnit val="1"/>
      </c:valAx>
    </c:plotArea>
    <c:plotVisOnly val="0"/>
    <c:dispBlanksAs val="span"/>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Local PULSE questions average</a:t>
            </a:r>
          </a:p>
          <a:p>
            <a:pPr>
              <a:defRPr sz="1200"/>
            </a:pPr>
            <a:r>
              <a:rPr lang="en-US"/>
              <a:t> (exclude ‘recommenders’) =&gt;67% </a:t>
            </a:r>
          </a:p>
        </c:rich>
      </c:tx>
      <c:overlay val="0"/>
    </c:title>
    <c:autoTitleDeleted val="0"/>
    <c:plotArea>
      <c:layout/>
      <c:lineChart>
        <c:grouping val="standard"/>
        <c:varyColors val="0"/>
        <c:ser>
          <c:idx val="0"/>
          <c:order val="0"/>
          <c:tx>
            <c:strRef>
              <c:f>'CID Coversheet (CG)'!$A$7</c:f>
              <c:strCache>
                <c:ptCount val="1"/>
                <c:pt idx="0">
                  <c:v>Local PULSE questions (exclude ‘recommenders’) =&gt;67% </c:v>
                </c:pt>
              </c:strCache>
            </c:strRef>
          </c:tx>
          <c:spPr>
            <a:ln>
              <a:solidFill>
                <a:schemeClr val="accent1"/>
              </a:solidFill>
            </a:ln>
          </c:spPr>
          <c:marker>
            <c:symbol val="none"/>
          </c:marker>
          <c:cat>
            <c:strRef>
              <c:f>'CID Coversheet (CG)'!$D$1:$H$1</c:f>
              <c:strCache>
                <c:ptCount val="5"/>
                <c:pt idx="0">
                  <c:v>Q1. 2020.21</c:v>
                </c:pt>
                <c:pt idx="1">
                  <c:v>Q2. 2020.21</c:v>
                </c:pt>
                <c:pt idx="2">
                  <c:v>Q3. 2020.21</c:v>
                </c:pt>
                <c:pt idx="3">
                  <c:v>Q4. 2020.21</c:v>
                </c:pt>
                <c:pt idx="4">
                  <c:v>Q1. 2021.22</c:v>
                </c:pt>
              </c:strCache>
            </c:strRef>
          </c:cat>
          <c:val>
            <c:numRef>
              <c:f>'CID Coversheet (CG)'!$D$7:$H$7</c:f>
              <c:numCache>
                <c:formatCode>General</c:formatCode>
                <c:ptCount val="5"/>
                <c:pt idx="0">
                  <c:v>0</c:v>
                </c:pt>
                <c:pt idx="1">
                  <c:v>0</c:v>
                </c:pt>
                <c:pt idx="2">
                  <c:v>0</c:v>
                </c:pt>
                <c:pt idx="3">
                  <c:v>1</c:v>
                </c:pt>
                <c:pt idx="4">
                  <c:v>1</c:v>
                </c:pt>
              </c:numCache>
            </c:numRef>
          </c:val>
          <c:smooth val="0"/>
          <c:extLst>
            <c:ext xmlns:c16="http://schemas.microsoft.com/office/drawing/2014/chart" uri="{C3380CC4-5D6E-409C-BE32-E72D297353CC}">
              <c16:uniqueId val="{00000000-F65F-4075-BD61-B70E3593B5D0}"/>
            </c:ext>
          </c:extLst>
        </c:ser>
        <c:dLbls>
          <c:showLegendKey val="0"/>
          <c:showVal val="0"/>
          <c:showCatName val="0"/>
          <c:showSerName val="0"/>
          <c:showPercent val="0"/>
          <c:showBubbleSize val="0"/>
        </c:dLbls>
        <c:smooth val="0"/>
        <c:axId val="126308352"/>
        <c:axId val="126523584"/>
      </c:lineChart>
      <c:catAx>
        <c:axId val="126308352"/>
        <c:scaling>
          <c:orientation val="minMax"/>
        </c:scaling>
        <c:delete val="0"/>
        <c:axPos val="b"/>
        <c:numFmt formatCode="General" sourceLinked="0"/>
        <c:majorTickMark val="out"/>
        <c:minorTickMark val="none"/>
        <c:tickLblPos val="nextTo"/>
        <c:crossAx val="126523584"/>
        <c:crosses val="autoZero"/>
        <c:auto val="1"/>
        <c:lblAlgn val="ctr"/>
        <c:lblOffset val="100"/>
        <c:noMultiLvlLbl val="0"/>
      </c:catAx>
      <c:valAx>
        <c:axId val="126523584"/>
        <c:scaling>
          <c:orientation val="minMax"/>
          <c:max val="5"/>
          <c:min val="0"/>
        </c:scaling>
        <c:delete val="0"/>
        <c:axPos val="l"/>
        <c:majorGridlines/>
        <c:numFmt formatCode="General" sourceLinked="1"/>
        <c:majorTickMark val="out"/>
        <c:minorTickMark val="none"/>
        <c:tickLblPos val="nextTo"/>
        <c:crossAx val="126308352"/>
        <c:crosses val="autoZero"/>
        <c:crossBetween val="between"/>
        <c:majorUnit val="1"/>
      </c:valAx>
    </c:plotArea>
    <c:plotVisOnly val="0"/>
    <c:dispBlanksAs val="span"/>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390525</xdr:colOff>
      <xdr:row>19</xdr:row>
      <xdr:rowOff>250030</xdr:rowOff>
    </xdr:from>
    <xdr:to>
      <xdr:col>3</xdr:col>
      <xdr:colOff>11906</xdr:colOff>
      <xdr:row>41</xdr:row>
      <xdr:rowOff>0</xdr:rowOff>
    </xdr:to>
    <xdr:graphicFrame macro="">
      <xdr:nvGraphicFramePr>
        <xdr:cNvPr id="2" name="Chart 1">
          <a:extLst>
            <a:ext uri="{FF2B5EF4-FFF2-40B4-BE49-F238E27FC236}">
              <a16:creationId xmlns:a16="http://schemas.microsoft.com/office/drawing/2014/main" id="{B3A2DC74-2DA7-40CD-B492-B1D033409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346157</xdr:colOff>
      <xdr:row>19</xdr:row>
      <xdr:rowOff>246857</xdr:rowOff>
    </xdr:from>
    <xdr:to>
      <xdr:col>12</xdr:col>
      <xdr:colOff>276144</xdr:colOff>
      <xdr:row>40</xdr:row>
      <xdr:rowOff>174500</xdr:rowOff>
    </xdr:to>
    <xdr:graphicFrame macro="">
      <xdr:nvGraphicFramePr>
        <xdr:cNvPr id="3" name="Chart 2">
          <a:extLst>
            <a:ext uri="{FF2B5EF4-FFF2-40B4-BE49-F238E27FC236}">
              <a16:creationId xmlns:a16="http://schemas.microsoft.com/office/drawing/2014/main" id="{5DE31150-2534-4789-9700-01CB65E46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9526</xdr:colOff>
      <xdr:row>20</xdr:row>
      <xdr:rowOff>0</xdr:rowOff>
    </xdr:from>
    <xdr:to>
      <xdr:col>24</xdr:col>
      <xdr:colOff>522919</xdr:colOff>
      <xdr:row>41</xdr:row>
      <xdr:rowOff>10988</xdr:rowOff>
    </xdr:to>
    <xdr:graphicFrame macro="">
      <xdr:nvGraphicFramePr>
        <xdr:cNvPr id="4" name="Chart 3">
          <a:extLst>
            <a:ext uri="{FF2B5EF4-FFF2-40B4-BE49-F238E27FC236}">
              <a16:creationId xmlns:a16="http://schemas.microsoft.com/office/drawing/2014/main" id="{F6729FBF-2A07-459B-ABE8-21E1CC9A2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370679</xdr:colOff>
      <xdr:row>42</xdr:row>
      <xdr:rowOff>190496</xdr:rowOff>
    </xdr:from>
    <xdr:to>
      <xdr:col>12</xdr:col>
      <xdr:colOff>309562</xdr:colOff>
      <xdr:row>64</xdr:row>
      <xdr:rowOff>100677</xdr:rowOff>
    </xdr:to>
    <xdr:graphicFrame macro="">
      <xdr:nvGraphicFramePr>
        <xdr:cNvPr id="6" name="Chart 5">
          <a:extLst>
            <a:ext uri="{FF2B5EF4-FFF2-40B4-BE49-F238E27FC236}">
              <a16:creationId xmlns:a16="http://schemas.microsoft.com/office/drawing/2014/main" id="{32B1AC20-30FD-43C9-AC74-0F718E290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393699</xdr:colOff>
      <xdr:row>42</xdr:row>
      <xdr:rowOff>169859</xdr:rowOff>
    </xdr:from>
    <xdr:to>
      <xdr:col>3</xdr:col>
      <xdr:colOff>14124</xdr:colOff>
      <xdr:row>64</xdr:row>
      <xdr:rowOff>85596</xdr:rowOff>
    </xdr:to>
    <xdr:graphicFrame macro="">
      <xdr:nvGraphicFramePr>
        <xdr:cNvPr id="7" name="Chart 6">
          <a:extLst>
            <a:ext uri="{FF2B5EF4-FFF2-40B4-BE49-F238E27FC236}">
              <a16:creationId xmlns:a16="http://schemas.microsoft.com/office/drawing/2014/main" id="{95A9BC59-AA21-4B5F-89AC-07CADE42E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560386</xdr:colOff>
      <xdr:row>12</xdr:row>
      <xdr:rowOff>160338</xdr:rowOff>
    </xdr:from>
    <xdr:to>
      <xdr:col>4</xdr:col>
      <xdr:colOff>293011</xdr:colOff>
      <xdr:row>32</xdr:row>
      <xdr:rowOff>21776</xdr:rowOff>
    </xdr:to>
    <xdr:graphicFrame macro="">
      <xdr:nvGraphicFramePr>
        <xdr:cNvPr id="2" name="Chart 1">
          <a:extLst>
            <a:ext uri="{FF2B5EF4-FFF2-40B4-BE49-F238E27FC236}">
              <a16:creationId xmlns:a16="http://schemas.microsoft.com/office/drawing/2014/main" id="{AF4026DA-6EC4-4611-BE64-46483EDE3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611187</xdr:colOff>
      <xdr:row>12</xdr:row>
      <xdr:rowOff>163513</xdr:rowOff>
    </xdr:from>
    <xdr:to>
      <xdr:col>13</xdr:col>
      <xdr:colOff>266819</xdr:colOff>
      <xdr:row>32</xdr:row>
      <xdr:rowOff>30876</xdr:rowOff>
    </xdr:to>
    <xdr:graphicFrame macro="">
      <xdr:nvGraphicFramePr>
        <xdr:cNvPr id="3" name="Chart 2">
          <a:extLst>
            <a:ext uri="{FF2B5EF4-FFF2-40B4-BE49-F238E27FC236}">
              <a16:creationId xmlns:a16="http://schemas.microsoft.com/office/drawing/2014/main" id="{2286736C-CA3F-430B-A234-94B503FE7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153194</xdr:colOff>
      <xdr:row>12</xdr:row>
      <xdr:rowOff>160338</xdr:rowOff>
    </xdr:from>
    <xdr:to>
      <xdr:col>24</xdr:col>
      <xdr:colOff>85050</xdr:colOff>
      <xdr:row>32</xdr:row>
      <xdr:rowOff>9076</xdr:rowOff>
    </xdr:to>
    <xdr:graphicFrame macro="">
      <xdr:nvGraphicFramePr>
        <xdr:cNvPr id="4" name="Chart 3">
          <a:extLst>
            <a:ext uri="{FF2B5EF4-FFF2-40B4-BE49-F238E27FC236}">
              <a16:creationId xmlns:a16="http://schemas.microsoft.com/office/drawing/2014/main" id="{211F6B57-0E60-460D-91FA-B78EFFC87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560386</xdr:colOff>
      <xdr:row>34</xdr:row>
      <xdr:rowOff>216694</xdr:rowOff>
    </xdr:from>
    <xdr:to>
      <xdr:col>4</xdr:col>
      <xdr:colOff>293011</xdr:colOff>
      <xdr:row>54</xdr:row>
      <xdr:rowOff>164650</xdr:rowOff>
    </xdr:to>
    <xdr:graphicFrame macro="">
      <xdr:nvGraphicFramePr>
        <xdr:cNvPr id="5" name="Chart 4">
          <a:extLst>
            <a:ext uri="{FF2B5EF4-FFF2-40B4-BE49-F238E27FC236}">
              <a16:creationId xmlns:a16="http://schemas.microsoft.com/office/drawing/2014/main" id="{E7E39E52-27E9-4D4E-B525-25CF46C11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611187</xdr:colOff>
      <xdr:row>34</xdr:row>
      <xdr:rowOff>219869</xdr:rowOff>
    </xdr:from>
    <xdr:to>
      <xdr:col>13</xdr:col>
      <xdr:colOff>266819</xdr:colOff>
      <xdr:row>54</xdr:row>
      <xdr:rowOff>145600</xdr:rowOff>
    </xdr:to>
    <xdr:graphicFrame macro="">
      <xdr:nvGraphicFramePr>
        <xdr:cNvPr id="6" name="Chart 5">
          <a:extLst>
            <a:ext uri="{FF2B5EF4-FFF2-40B4-BE49-F238E27FC236}">
              <a16:creationId xmlns:a16="http://schemas.microsoft.com/office/drawing/2014/main" id="{6F5E6F38-2BF8-4597-9643-5680990FC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153194</xdr:colOff>
      <xdr:row>34</xdr:row>
      <xdr:rowOff>216694</xdr:rowOff>
    </xdr:from>
    <xdr:to>
      <xdr:col>24</xdr:col>
      <xdr:colOff>88225</xdr:colOff>
      <xdr:row>54</xdr:row>
      <xdr:rowOff>161475</xdr:rowOff>
    </xdr:to>
    <xdr:graphicFrame macro="">
      <xdr:nvGraphicFramePr>
        <xdr:cNvPr id="7" name="Chart 6">
          <a:extLst>
            <a:ext uri="{FF2B5EF4-FFF2-40B4-BE49-F238E27FC236}">
              <a16:creationId xmlns:a16="http://schemas.microsoft.com/office/drawing/2014/main" id="{DD6B685A-42D9-4AD7-93CB-547476EB2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560385</xdr:colOff>
      <xdr:row>12</xdr:row>
      <xdr:rowOff>160338</xdr:rowOff>
    </xdr:from>
    <xdr:to>
      <xdr:col>5</xdr:col>
      <xdr:colOff>13606</xdr:colOff>
      <xdr:row>33</xdr:row>
      <xdr:rowOff>105120</xdr:rowOff>
    </xdr:to>
    <xdr:graphicFrame macro="">
      <xdr:nvGraphicFramePr>
        <xdr:cNvPr id="2" name="Chart 1">
          <a:extLst>
            <a:ext uri="{FF2B5EF4-FFF2-40B4-BE49-F238E27FC236}">
              <a16:creationId xmlns:a16="http://schemas.microsoft.com/office/drawing/2014/main" id="{2938E0AB-1E6E-4BEA-ACA0-CACD2A260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743347</xdr:colOff>
      <xdr:row>12</xdr:row>
      <xdr:rowOff>163513</xdr:rowOff>
    </xdr:from>
    <xdr:to>
      <xdr:col>13</xdr:col>
      <xdr:colOff>392629</xdr:colOff>
      <xdr:row>33</xdr:row>
      <xdr:rowOff>101945</xdr:rowOff>
    </xdr:to>
    <xdr:graphicFrame macro="">
      <xdr:nvGraphicFramePr>
        <xdr:cNvPr id="3" name="Chart 2">
          <a:extLst>
            <a:ext uri="{FF2B5EF4-FFF2-40B4-BE49-F238E27FC236}">
              <a16:creationId xmlns:a16="http://schemas.microsoft.com/office/drawing/2014/main" id="{ABF34698-23FE-41A3-AD71-AC3BDE9D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489857</xdr:colOff>
      <xdr:row>12</xdr:row>
      <xdr:rowOff>160338</xdr:rowOff>
    </xdr:from>
    <xdr:to>
      <xdr:col>25</xdr:col>
      <xdr:colOff>0</xdr:colOff>
      <xdr:row>33</xdr:row>
      <xdr:rowOff>105120</xdr:rowOff>
    </xdr:to>
    <xdr:graphicFrame macro="">
      <xdr:nvGraphicFramePr>
        <xdr:cNvPr id="4" name="Chart 3">
          <a:extLst>
            <a:ext uri="{FF2B5EF4-FFF2-40B4-BE49-F238E27FC236}">
              <a16:creationId xmlns:a16="http://schemas.microsoft.com/office/drawing/2014/main" id="{07EFFB33-86ED-45E8-A099-8A5D501EB6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560385</xdr:colOff>
      <xdr:row>37</xdr:row>
      <xdr:rowOff>791</xdr:rowOff>
    </xdr:from>
    <xdr:to>
      <xdr:col>5</xdr:col>
      <xdr:colOff>13606</xdr:colOff>
      <xdr:row>57</xdr:row>
      <xdr:rowOff>28916</xdr:rowOff>
    </xdr:to>
    <xdr:graphicFrame macro="">
      <xdr:nvGraphicFramePr>
        <xdr:cNvPr id="5" name="Chart 4">
          <a:extLst>
            <a:ext uri="{FF2B5EF4-FFF2-40B4-BE49-F238E27FC236}">
              <a16:creationId xmlns:a16="http://schemas.microsoft.com/office/drawing/2014/main" id="{C3A23471-4FED-447A-87D1-1D0FB21DD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743347</xdr:colOff>
      <xdr:row>37</xdr:row>
      <xdr:rowOff>791</xdr:rowOff>
    </xdr:from>
    <xdr:to>
      <xdr:col>13</xdr:col>
      <xdr:colOff>392629</xdr:colOff>
      <xdr:row>57</xdr:row>
      <xdr:rowOff>19391</xdr:rowOff>
    </xdr:to>
    <xdr:graphicFrame macro="">
      <xdr:nvGraphicFramePr>
        <xdr:cNvPr id="6" name="Chart 5">
          <a:extLst>
            <a:ext uri="{FF2B5EF4-FFF2-40B4-BE49-F238E27FC236}">
              <a16:creationId xmlns:a16="http://schemas.microsoft.com/office/drawing/2014/main" id="{4B18E3FD-ED9C-4360-A329-856B60EB9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488011</xdr:colOff>
      <xdr:row>37</xdr:row>
      <xdr:rowOff>791</xdr:rowOff>
    </xdr:from>
    <xdr:to>
      <xdr:col>25</xdr:col>
      <xdr:colOff>19974</xdr:colOff>
      <xdr:row>57</xdr:row>
      <xdr:rowOff>25741</xdr:rowOff>
    </xdr:to>
    <xdr:graphicFrame macro="">
      <xdr:nvGraphicFramePr>
        <xdr:cNvPr id="7" name="Chart 6">
          <a:extLst>
            <a:ext uri="{FF2B5EF4-FFF2-40B4-BE49-F238E27FC236}">
              <a16:creationId xmlns:a16="http://schemas.microsoft.com/office/drawing/2014/main" id="{EAABCF75-13FA-411F-A49E-04EF0614C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521492</xdr:colOff>
      <xdr:row>12</xdr:row>
      <xdr:rowOff>160338</xdr:rowOff>
    </xdr:from>
    <xdr:to>
      <xdr:col>5</xdr:col>
      <xdr:colOff>13606</xdr:colOff>
      <xdr:row>32</xdr:row>
      <xdr:rowOff>105120</xdr:rowOff>
    </xdr:to>
    <xdr:graphicFrame macro="">
      <xdr:nvGraphicFramePr>
        <xdr:cNvPr id="2" name="Chart 1">
          <a:extLst>
            <a:ext uri="{FF2B5EF4-FFF2-40B4-BE49-F238E27FC236}">
              <a16:creationId xmlns:a16="http://schemas.microsoft.com/office/drawing/2014/main" id="{AA171363-5C18-422E-90C7-39D66057A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618331</xdr:colOff>
      <xdr:row>12</xdr:row>
      <xdr:rowOff>163513</xdr:rowOff>
    </xdr:from>
    <xdr:to>
      <xdr:col>13</xdr:col>
      <xdr:colOff>68035</xdr:colOff>
      <xdr:row>32</xdr:row>
      <xdr:rowOff>101945</xdr:rowOff>
    </xdr:to>
    <xdr:graphicFrame macro="">
      <xdr:nvGraphicFramePr>
        <xdr:cNvPr id="3" name="Chart 2">
          <a:extLst>
            <a:ext uri="{FF2B5EF4-FFF2-40B4-BE49-F238E27FC236}">
              <a16:creationId xmlns:a16="http://schemas.microsoft.com/office/drawing/2014/main" id="{F944AC2A-D971-4A40-8C11-98E9B467B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204107</xdr:colOff>
      <xdr:row>12</xdr:row>
      <xdr:rowOff>160338</xdr:rowOff>
    </xdr:from>
    <xdr:to>
      <xdr:col>24</xdr:col>
      <xdr:colOff>180589</xdr:colOff>
      <xdr:row>32</xdr:row>
      <xdr:rowOff>101945</xdr:rowOff>
    </xdr:to>
    <xdr:graphicFrame macro="">
      <xdr:nvGraphicFramePr>
        <xdr:cNvPr id="4" name="Chart 3">
          <a:extLst>
            <a:ext uri="{FF2B5EF4-FFF2-40B4-BE49-F238E27FC236}">
              <a16:creationId xmlns:a16="http://schemas.microsoft.com/office/drawing/2014/main" id="{30BE248D-0354-4159-AA86-41FD37038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524667</xdr:colOff>
      <xdr:row>36</xdr:row>
      <xdr:rowOff>122236</xdr:rowOff>
    </xdr:from>
    <xdr:to>
      <xdr:col>5</xdr:col>
      <xdr:colOff>16781</xdr:colOff>
      <xdr:row>56</xdr:row>
      <xdr:rowOff>140836</xdr:rowOff>
    </xdr:to>
    <xdr:graphicFrame macro="">
      <xdr:nvGraphicFramePr>
        <xdr:cNvPr id="5" name="Chart 4">
          <a:extLst>
            <a:ext uri="{FF2B5EF4-FFF2-40B4-BE49-F238E27FC236}">
              <a16:creationId xmlns:a16="http://schemas.microsoft.com/office/drawing/2014/main" id="{E8F921AE-E0F7-4B24-82F3-E27FB0AB3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615156</xdr:colOff>
      <xdr:row>36</xdr:row>
      <xdr:rowOff>125411</xdr:rowOff>
    </xdr:from>
    <xdr:to>
      <xdr:col>13</xdr:col>
      <xdr:colOff>10000</xdr:colOff>
      <xdr:row>56</xdr:row>
      <xdr:rowOff>144011</xdr:rowOff>
    </xdr:to>
    <xdr:graphicFrame macro="">
      <xdr:nvGraphicFramePr>
        <xdr:cNvPr id="6" name="Chart 5">
          <a:extLst>
            <a:ext uri="{FF2B5EF4-FFF2-40B4-BE49-F238E27FC236}">
              <a16:creationId xmlns:a16="http://schemas.microsoft.com/office/drawing/2014/main" id="{2490DBE5-5535-4848-B48F-DCB1EEF21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207635</xdr:colOff>
      <xdr:row>36</xdr:row>
      <xdr:rowOff>122236</xdr:rowOff>
    </xdr:from>
    <xdr:to>
      <xdr:col>24</xdr:col>
      <xdr:colOff>180561</xdr:colOff>
      <xdr:row>56</xdr:row>
      <xdr:rowOff>156711</xdr:rowOff>
    </xdr:to>
    <xdr:graphicFrame macro="">
      <xdr:nvGraphicFramePr>
        <xdr:cNvPr id="7" name="Chart 6">
          <a:extLst>
            <a:ext uri="{FF2B5EF4-FFF2-40B4-BE49-F238E27FC236}">
              <a16:creationId xmlns:a16="http://schemas.microsoft.com/office/drawing/2014/main" id="{460D30A9-119B-435E-B611-7BDE59282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515938</xdr:colOff>
      <xdr:row>12</xdr:row>
      <xdr:rowOff>158750</xdr:rowOff>
    </xdr:from>
    <xdr:to>
      <xdr:col>4</xdr:col>
      <xdr:colOff>248563</xdr:colOff>
      <xdr:row>32</xdr:row>
      <xdr:rowOff>103532</xdr:rowOff>
    </xdr:to>
    <xdr:graphicFrame macro="">
      <xdr:nvGraphicFramePr>
        <xdr:cNvPr id="2" name="Chart 1">
          <a:extLst>
            <a:ext uri="{FF2B5EF4-FFF2-40B4-BE49-F238E27FC236}">
              <a16:creationId xmlns:a16="http://schemas.microsoft.com/office/drawing/2014/main" id="{665ADCC1-3E29-4717-B8E2-44C7E5021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147638</xdr:colOff>
      <xdr:row>12</xdr:row>
      <xdr:rowOff>161925</xdr:rowOff>
    </xdr:from>
    <xdr:to>
      <xdr:col>12</xdr:col>
      <xdr:colOff>410488</xdr:colOff>
      <xdr:row>32</xdr:row>
      <xdr:rowOff>103532</xdr:rowOff>
    </xdr:to>
    <xdr:graphicFrame macro="">
      <xdr:nvGraphicFramePr>
        <xdr:cNvPr id="3" name="Chart 2">
          <a:extLst>
            <a:ext uri="{FF2B5EF4-FFF2-40B4-BE49-F238E27FC236}">
              <a16:creationId xmlns:a16="http://schemas.microsoft.com/office/drawing/2014/main" id="{B96EFBB2-30EB-4F8F-9E14-86EECBB09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484983</xdr:colOff>
      <xdr:row>12</xdr:row>
      <xdr:rowOff>158750</xdr:rowOff>
    </xdr:from>
    <xdr:to>
      <xdr:col>22</xdr:col>
      <xdr:colOff>429539</xdr:colOff>
      <xdr:row>32</xdr:row>
      <xdr:rowOff>103532</xdr:rowOff>
    </xdr:to>
    <xdr:graphicFrame macro="">
      <xdr:nvGraphicFramePr>
        <xdr:cNvPr id="4" name="Chart 3">
          <a:extLst>
            <a:ext uri="{FF2B5EF4-FFF2-40B4-BE49-F238E27FC236}">
              <a16:creationId xmlns:a16="http://schemas.microsoft.com/office/drawing/2014/main" id="{3E8F7603-8C7D-4C18-86E3-AA2C7E077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515938</xdr:colOff>
      <xdr:row>37</xdr:row>
      <xdr:rowOff>791</xdr:rowOff>
    </xdr:from>
    <xdr:to>
      <xdr:col>4</xdr:col>
      <xdr:colOff>248563</xdr:colOff>
      <xdr:row>57</xdr:row>
      <xdr:rowOff>25741</xdr:rowOff>
    </xdr:to>
    <xdr:graphicFrame macro="">
      <xdr:nvGraphicFramePr>
        <xdr:cNvPr id="5" name="Chart 4">
          <a:extLst>
            <a:ext uri="{FF2B5EF4-FFF2-40B4-BE49-F238E27FC236}">
              <a16:creationId xmlns:a16="http://schemas.microsoft.com/office/drawing/2014/main" id="{448D9EF1-3E76-43E8-812D-C2CF76C78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144463</xdr:colOff>
      <xdr:row>37</xdr:row>
      <xdr:rowOff>791</xdr:rowOff>
    </xdr:from>
    <xdr:to>
      <xdr:col>12</xdr:col>
      <xdr:colOff>410488</xdr:colOff>
      <xdr:row>57</xdr:row>
      <xdr:rowOff>28916</xdr:rowOff>
    </xdr:to>
    <xdr:graphicFrame macro="">
      <xdr:nvGraphicFramePr>
        <xdr:cNvPr id="6" name="Chart 5">
          <a:extLst>
            <a:ext uri="{FF2B5EF4-FFF2-40B4-BE49-F238E27FC236}">
              <a16:creationId xmlns:a16="http://schemas.microsoft.com/office/drawing/2014/main" id="{99E69B1F-E933-4FA4-B0AD-A616AA829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484983</xdr:colOff>
      <xdr:row>37</xdr:row>
      <xdr:rowOff>791</xdr:rowOff>
    </xdr:from>
    <xdr:to>
      <xdr:col>22</xdr:col>
      <xdr:colOff>420014</xdr:colOff>
      <xdr:row>57</xdr:row>
      <xdr:rowOff>25741</xdr:rowOff>
    </xdr:to>
    <xdr:graphicFrame macro="">
      <xdr:nvGraphicFramePr>
        <xdr:cNvPr id="7" name="Chart 6">
          <a:extLst>
            <a:ext uri="{FF2B5EF4-FFF2-40B4-BE49-F238E27FC236}">
              <a16:creationId xmlns:a16="http://schemas.microsoft.com/office/drawing/2014/main" id="{2F0901B9-CAEE-4AB5-876E-E82D2A424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566737</xdr:colOff>
      <xdr:row>12</xdr:row>
      <xdr:rowOff>166688</xdr:rowOff>
    </xdr:from>
    <xdr:to>
      <xdr:col>4</xdr:col>
      <xdr:colOff>381549</xdr:colOff>
      <xdr:row>28</xdr:row>
      <xdr:rowOff>125688</xdr:rowOff>
    </xdr:to>
    <xdr:graphicFrame macro="">
      <xdr:nvGraphicFramePr>
        <xdr:cNvPr id="2" name="Chart 1">
          <a:extLst>
            <a:ext uri="{FF2B5EF4-FFF2-40B4-BE49-F238E27FC236}">
              <a16:creationId xmlns:a16="http://schemas.microsoft.com/office/drawing/2014/main" id="{CABBDD26-F8EF-4AD8-AFD2-AD5BE08C0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742949</xdr:colOff>
      <xdr:row>13</xdr:row>
      <xdr:rowOff>7936</xdr:rowOff>
    </xdr:from>
    <xdr:to>
      <xdr:col>12</xdr:col>
      <xdr:colOff>73574</xdr:colOff>
      <xdr:row>28</xdr:row>
      <xdr:rowOff>149498</xdr:rowOff>
    </xdr:to>
    <xdr:graphicFrame macro="">
      <xdr:nvGraphicFramePr>
        <xdr:cNvPr id="3" name="Chart 2">
          <a:extLst>
            <a:ext uri="{FF2B5EF4-FFF2-40B4-BE49-F238E27FC236}">
              <a16:creationId xmlns:a16="http://schemas.microsoft.com/office/drawing/2014/main" id="{66A46BFA-D46A-4C3B-89B8-DE7519F47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428625</xdr:colOff>
      <xdr:row>13</xdr:row>
      <xdr:rowOff>12698</xdr:rowOff>
    </xdr:from>
    <xdr:to>
      <xdr:col>22</xdr:col>
      <xdr:colOff>76750</xdr:colOff>
      <xdr:row>28</xdr:row>
      <xdr:rowOff>154260</xdr:rowOff>
    </xdr:to>
    <xdr:graphicFrame macro="">
      <xdr:nvGraphicFramePr>
        <xdr:cNvPr id="4" name="Chart 3">
          <a:extLst>
            <a:ext uri="{FF2B5EF4-FFF2-40B4-BE49-F238E27FC236}">
              <a16:creationId xmlns:a16="http://schemas.microsoft.com/office/drawing/2014/main" id="{DE8F94AE-11CA-401D-BEF2-D642E58DD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557213</xdr:colOff>
      <xdr:row>31</xdr:row>
      <xdr:rowOff>182560</xdr:rowOff>
    </xdr:from>
    <xdr:to>
      <xdr:col>4</xdr:col>
      <xdr:colOff>388937</xdr:colOff>
      <xdr:row>47</xdr:row>
      <xdr:rowOff>141560</xdr:rowOff>
    </xdr:to>
    <xdr:graphicFrame macro="">
      <xdr:nvGraphicFramePr>
        <xdr:cNvPr id="5" name="Chart 4">
          <a:extLst>
            <a:ext uri="{FF2B5EF4-FFF2-40B4-BE49-F238E27FC236}">
              <a16:creationId xmlns:a16="http://schemas.microsoft.com/office/drawing/2014/main" id="{FFDBA475-ADC3-4D0E-B463-EAE2EEDA9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7141</xdr:colOff>
      <xdr:row>32</xdr:row>
      <xdr:rowOff>7938</xdr:rowOff>
    </xdr:from>
    <xdr:to>
      <xdr:col>12</xdr:col>
      <xdr:colOff>107703</xdr:colOff>
      <xdr:row>47</xdr:row>
      <xdr:rowOff>149500</xdr:rowOff>
    </xdr:to>
    <xdr:graphicFrame macro="">
      <xdr:nvGraphicFramePr>
        <xdr:cNvPr id="6" name="Chart 5">
          <a:extLst>
            <a:ext uri="{FF2B5EF4-FFF2-40B4-BE49-F238E27FC236}">
              <a16:creationId xmlns:a16="http://schemas.microsoft.com/office/drawing/2014/main" id="{496AB5E5-ADD8-44F0-A8AF-4A83A8126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444500</xdr:colOff>
      <xdr:row>32</xdr:row>
      <xdr:rowOff>15875</xdr:rowOff>
    </xdr:from>
    <xdr:to>
      <xdr:col>22</xdr:col>
      <xdr:colOff>92625</xdr:colOff>
      <xdr:row>47</xdr:row>
      <xdr:rowOff>157437</xdr:rowOff>
    </xdr:to>
    <xdr:graphicFrame macro="">
      <xdr:nvGraphicFramePr>
        <xdr:cNvPr id="7" name="Chart 6">
          <a:extLst>
            <a:ext uri="{FF2B5EF4-FFF2-40B4-BE49-F238E27FC236}">
              <a16:creationId xmlns:a16="http://schemas.microsoft.com/office/drawing/2014/main" id="{85D64E8B-A2E9-4CD5-9E0B-CFE28223D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B1:W60"/>
  <sheetViews>
    <sheetView topLeftCell="A34" zoomScale="80" zoomScaleNormal="80" workbookViewId="0">
      <selection activeCell="T24" sqref="T24"/>
    </sheetView>
  </sheetViews>
  <sheetFormatPr defaultColWidth="8.7109375" defaultRowHeight="15" x14ac:dyDescent="0.25"/>
  <cols>
    <col min="1" max="1" width="3.7109375" style="328" customWidth="1"/>
    <col min="2" max="3" width="11" style="328" customWidth="1"/>
    <col min="4" max="6" width="11" style="328" bestFit="1" customWidth="1"/>
    <col min="7" max="16384" width="8.7109375" style="328"/>
  </cols>
  <sheetData>
    <row r="1" spans="2:23" ht="14.45" hidden="1" customHeight="1" x14ac:dyDescent="0.25">
      <c r="B1" s="327" t="s">
        <v>259</v>
      </c>
      <c r="C1" s="327" t="s">
        <v>260</v>
      </c>
      <c r="D1" s="327" t="s">
        <v>241</v>
      </c>
      <c r="E1" s="327" t="s">
        <v>200</v>
      </c>
      <c r="F1" s="327" t="s">
        <v>240</v>
      </c>
    </row>
    <row r="2" spans="2:23" ht="14.45" hidden="1" customHeight="1" x14ac:dyDescent="0.25">
      <c r="B2" s="327"/>
      <c r="C2" s="327"/>
      <c r="D2" s="327">
        <v>4</v>
      </c>
      <c r="E2" s="327">
        <v>12</v>
      </c>
      <c r="F2" s="327">
        <v>13</v>
      </c>
    </row>
    <row r="3" spans="2:23" ht="14.45" hidden="1" customHeight="1" x14ac:dyDescent="0.25">
      <c r="B3" s="327"/>
      <c r="C3" s="327"/>
      <c r="D3" s="327">
        <v>32</v>
      </c>
      <c r="E3" s="327">
        <v>29</v>
      </c>
      <c r="F3" s="327">
        <v>27</v>
      </c>
    </row>
    <row r="4" spans="2:23" ht="14.45" hidden="1" customHeight="1" x14ac:dyDescent="0.25">
      <c r="B4" s="327"/>
      <c r="C4" s="327"/>
      <c r="D4" s="327">
        <v>58</v>
      </c>
      <c r="E4" s="327">
        <v>58</v>
      </c>
      <c r="F4" s="327">
        <v>58</v>
      </c>
    </row>
    <row r="5" spans="2:23" ht="14.45" hidden="1" customHeight="1" x14ac:dyDescent="0.25">
      <c r="B5" s="327">
        <v>10</v>
      </c>
      <c r="C5" s="327">
        <v>26</v>
      </c>
      <c r="D5" s="327"/>
      <c r="E5" s="327">
        <v>29</v>
      </c>
      <c r="F5" s="327">
        <v>28</v>
      </c>
    </row>
    <row r="6" spans="2:23" ht="14.45" hidden="1" customHeight="1" x14ac:dyDescent="0.25">
      <c r="B6" s="327">
        <v>20</v>
      </c>
      <c r="C6" s="327">
        <v>42</v>
      </c>
      <c r="D6" s="327"/>
      <c r="E6" s="327">
        <v>38</v>
      </c>
      <c r="F6" s="327">
        <v>38</v>
      </c>
    </row>
    <row r="7" spans="2:23" ht="14.45" hidden="1" customHeight="1" x14ac:dyDescent="0.25">
      <c r="B7" s="327"/>
      <c r="C7" s="327">
        <v>20</v>
      </c>
      <c r="D7" s="327"/>
      <c r="E7" s="327">
        <v>33</v>
      </c>
      <c r="F7" s="327">
        <v>32</v>
      </c>
    </row>
    <row r="8" spans="2:23" ht="14.45" hidden="1" customHeight="1" x14ac:dyDescent="0.25">
      <c r="B8" s="327"/>
      <c r="C8" s="327"/>
      <c r="D8" s="327"/>
      <c r="E8" s="327"/>
      <c r="F8" s="327"/>
    </row>
    <row r="9" spans="2:23" hidden="1" x14ac:dyDescent="0.25"/>
    <row r="10" spans="2:23" ht="20.100000000000001" customHeight="1" x14ac:dyDescent="0.35">
      <c r="B10" s="329"/>
      <c r="C10" s="329"/>
      <c r="D10" s="608" t="s">
        <v>263</v>
      </c>
      <c r="E10" s="608"/>
      <c r="F10" s="608"/>
      <c r="G10" s="608"/>
      <c r="H10" s="608"/>
      <c r="I10" s="608"/>
      <c r="J10" s="608"/>
      <c r="K10" s="608"/>
      <c r="L10" s="608"/>
      <c r="M10" s="608"/>
      <c r="N10" s="608"/>
      <c r="O10" s="608"/>
      <c r="P10" s="608"/>
      <c r="Q10" s="608"/>
      <c r="R10" s="329"/>
      <c r="S10" s="329"/>
      <c r="T10" s="329"/>
      <c r="U10" s="329"/>
      <c r="V10" s="329"/>
      <c r="W10" s="329"/>
    </row>
    <row r="12" spans="2:23" ht="21" x14ac:dyDescent="0.25">
      <c r="B12" s="581" t="s">
        <v>264</v>
      </c>
      <c r="C12" s="581"/>
      <c r="D12" s="581"/>
      <c r="E12" s="581"/>
      <c r="F12" s="581"/>
      <c r="G12" s="581"/>
      <c r="H12" s="581"/>
      <c r="I12" s="581"/>
      <c r="J12" s="581"/>
      <c r="K12" s="581"/>
      <c r="L12" s="581"/>
      <c r="M12" s="581"/>
      <c r="N12" s="581"/>
      <c r="O12" s="581"/>
      <c r="P12" s="581"/>
      <c r="Q12" s="581"/>
      <c r="R12" s="581"/>
      <c r="S12" s="581"/>
    </row>
    <row r="13" spans="2:23" ht="21" customHeight="1" x14ac:dyDescent="0.25">
      <c r="B13" s="609" t="s">
        <v>265</v>
      </c>
      <c r="C13" s="610"/>
      <c r="D13" s="610"/>
      <c r="E13" s="610"/>
      <c r="F13" s="610"/>
      <c r="G13" s="610"/>
      <c r="H13" s="610"/>
      <c r="I13" s="610"/>
      <c r="J13" s="610"/>
      <c r="K13" s="610"/>
      <c r="L13" s="610"/>
      <c r="M13" s="610"/>
      <c r="N13" s="610"/>
      <c r="O13" s="610"/>
      <c r="P13" s="610"/>
      <c r="Q13" s="610"/>
      <c r="R13" s="610"/>
      <c r="S13" s="611"/>
    </row>
    <row r="14" spans="2:23" ht="21" customHeight="1" x14ac:dyDescent="0.25">
      <c r="B14" s="612"/>
      <c r="C14" s="589"/>
      <c r="D14" s="589"/>
      <c r="E14" s="589"/>
      <c r="F14" s="589"/>
      <c r="G14" s="589"/>
      <c r="H14" s="589"/>
      <c r="I14" s="589"/>
      <c r="J14" s="589"/>
      <c r="K14" s="589"/>
      <c r="L14" s="589"/>
      <c r="M14" s="589"/>
      <c r="N14" s="589"/>
      <c r="O14" s="589"/>
      <c r="P14" s="589"/>
      <c r="Q14" s="589"/>
      <c r="R14" s="589"/>
      <c r="S14" s="613"/>
    </row>
    <row r="15" spans="2:23" ht="20.25" customHeight="1" x14ac:dyDescent="0.25">
      <c r="B15" s="594" t="s">
        <v>266</v>
      </c>
      <c r="C15" s="595"/>
      <c r="D15" s="595"/>
      <c r="E15" s="595"/>
      <c r="F15" s="595"/>
      <c r="G15" s="595"/>
      <c r="H15" s="595"/>
      <c r="I15" s="595"/>
      <c r="J15" s="595"/>
      <c r="K15" s="595"/>
      <c r="L15" s="595"/>
      <c r="M15" s="595"/>
      <c r="N15" s="595"/>
      <c r="O15" s="595"/>
      <c r="P15" s="595"/>
      <c r="Q15" s="595"/>
      <c r="R15" s="595"/>
      <c r="S15" s="596"/>
    </row>
    <row r="16" spans="2:23" ht="20.25" customHeight="1" x14ac:dyDescent="0.25">
      <c r="B16" s="591"/>
      <c r="C16" s="592"/>
      <c r="D16" s="592"/>
      <c r="E16" s="592"/>
      <c r="F16" s="592"/>
      <c r="G16" s="592"/>
      <c r="H16" s="592"/>
      <c r="I16" s="592"/>
      <c r="J16" s="592"/>
      <c r="K16" s="592"/>
      <c r="L16" s="592"/>
      <c r="M16" s="592"/>
      <c r="N16" s="592"/>
      <c r="O16" s="592"/>
      <c r="P16" s="592"/>
      <c r="Q16" s="592"/>
      <c r="R16" s="592"/>
      <c r="S16" s="593"/>
    </row>
    <row r="17" spans="2:19" ht="15.75" x14ac:dyDescent="0.25">
      <c r="C17" s="330"/>
      <c r="D17" s="330"/>
      <c r="E17" s="330"/>
      <c r="F17" s="330"/>
      <c r="G17" s="330"/>
      <c r="H17" s="330"/>
      <c r="I17" s="330"/>
      <c r="J17" s="330"/>
      <c r="K17" s="330"/>
      <c r="L17" s="330"/>
      <c r="M17" s="330"/>
      <c r="N17" s="330"/>
      <c r="O17" s="330"/>
      <c r="P17" s="330"/>
    </row>
    <row r="18" spans="2:19" ht="21" x14ac:dyDescent="0.25">
      <c r="B18" s="581" t="s">
        <v>267</v>
      </c>
      <c r="C18" s="581"/>
      <c r="D18" s="581"/>
      <c r="E18" s="581"/>
      <c r="F18" s="581"/>
      <c r="G18" s="581"/>
      <c r="H18" s="581"/>
      <c r="I18" s="581"/>
      <c r="J18" s="581"/>
      <c r="K18" s="581"/>
      <c r="L18" s="581"/>
      <c r="M18" s="581"/>
      <c r="N18" s="581"/>
      <c r="O18" s="581"/>
      <c r="P18" s="581"/>
      <c r="Q18" s="581"/>
      <c r="R18" s="581"/>
      <c r="S18" s="581"/>
    </row>
    <row r="19" spans="2:19" ht="20.25" customHeight="1" x14ac:dyDescent="0.25">
      <c r="B19" s="594" t="s">
        <v>330</v>
      </c>
      <c r="C19" s="595"/>
      <c r="D19" s="595"/>
      <c r="E19" s="595"/>
      <c r="F19" s="595"/>
      <c r="G19" s="595"/>
      <c r="H19" s="595"/>
      <c r="I19" s="595"/>
      <c r="J19" s="595"/>
      <c r="K19" s="595"/>
      <c r="L19" s="595"/>
      <c r="M19" s="595"/>
      <c r="N19" s="595"/>
      <c r="O19" s="595"/>
      <c r="P19" s="595"/>
      <c r="Q19" s="595"/>
      <c r="R19" s="595"/>
      <c r="S19" s="596"/>
    </row>
    <row r="20" spans="2:19" ht="20.25" customHeight="1" x14ac:dyDescent="0.25">
      <c r="B20" s="588"/>
      <c r="C20" s="589"/>
      <c r="D20" s="589"/>
      <c r="E20" s="589"/>
      <c r="F20" s="589"/>
      <c r="G20" s="589"/>
      <c r="H20" s="589"/>
      <c r="I20" s="589"/>
      <c r="J20" s="589"/>
      <c r="K20" s="589"/>
      <c r="L20" s="589"/>
      <c r="M20" s="589"/>
      <c r="N20" s="589"/>
      <c r="O20" s="589"/>
      <c r="P20" s="589"/>
      <c r="Q20" s="589"/>
      <c r="R20" s="589"/>
      <c r="S20" s="590"/>
    </row>
    <row r="21" spans="2:19" ht="20.25" customHeight="1" x14ac:dyDescent="0.25">
      <c r="B21" s="594" t="s">
        <v>331</v>
      </c>
      <c r="C21" s="595"/>
      <c r="D21" s="595"/>
      <c r="E21" s="595"/>
      <c r="F21" s="595"/>
      <c r="G21" s="595"/>
      <c r="H21" s="595"/>
      <c r="I21" s="595"/>
      <c r="J21" s="595"/>
      <c r="K21" s="595"/>
      <c r="L21" s="595"/>
      <c r="M21" s="595"/>
      <c r="N21" s="595"/>
      <c r="O21" s="595"/>
      <c r="P21" s="595"/>
      <c r="Q21" s="595"/>
      <c r="R21" s="595"/>
      <c r="S21" s="596"/>
    </row>
    <row r="22" spans="2:19" ht="20.25" customHeight="1" x14ac:dyDescent="0.25">
      <c r="B22" s="588"/>
      <c r="C22" s="589"/>
      <c r="D22" s="589"/>
      <c r="E22" s="589"/>
      <c r="F22" s="589"/>
      <c r="G22" s="589"/>
      <c r="H22" s="589"/>
      <c r="I22" s="589"/>
      <c r="J22" s="589"/>
      <c r="K22" s="589"/>
      <c r="L22" s="589"/>
      <c r="M22" s="589"/>
      <c r="N22" s="589"/>
      <c r="O22" s="589"/>
      <c r="P22" s="589"/>
      <c r="Q22" s="589"/>
      <c r="R22" s="589"/>
      <c r="S22" s="590"/>
    </row>
    <row r="23" spans="2:19" ht="20.25" customHeight="1" x14ac:dyDescent="0.25">
      <c r="B23" s="591"/>
      <c r="C23" s="592"/>
      <c r="D23" s="592"/>
      <c r="E23" s="592"/>
      <c r="F23" s="592"/>
      <c r="G23" s="592"/>
      <c r="H23" s="592"/>
      <c r="I23" s="592"/>
      <c r="J23" s="592"/>
      <c r="K23" s="592"/>
      <c r="L23" s="592"/>
      <c r="M23" s="592"/>
      <c r="N23" s="592"/>
      <c r="O23" s="592"/>
      <c r="P23" s="592"/>
      <c r="Q23" s="592"/>
      <c r="R23" s="592"/>
      <c r="S23" s="593"/>
    </row>
    <row r="24" spans="2:19" ht="20.25" customHeight="1" x14ac:dyDescent="0.25">
      <c r="B24" s="594" t="s">
        <v>332</v>
      </c>
      <c r="C24" s="595"/>
      <c r="D24" s="595"/>
      <c r="E24" s="595"/>
      <c r="F24" s="595"/>
      <c r="G24" s="595"/>
      <c r="H24" s="595"/>
      <c r="I24" s="595"/>
      <c r="J24" s="595"/>
      <c r="K24" s="595"/>
      <c r="L24" s="595"/>
      <c r="M24" s="595"/>
      <c r="N24" s="595"/>
      <c r="O24" s="595"/>
      <c r="P24" s="595"/>
      <c r="Q24" s="595"/>
      <c r="R24" s="595"/>
      <c r="S24" s="596"/>
    </row>
    <row r="25" spans="2:19" ht="20.100000000000001" customHeight="1" x14ac:dyDescent="0.25">
      <c r="B25" s="588"/>
      <c r="C25" s="589"/>
      <c r="D25" s="589"/>
      <c r="E25" s="589"/>
      <c r="F25" s="589"/>
      <c r="G25" s="589"/>
      <c r="H25" s="589"/>
      <c r="I25" s="589"/>
      <c r="J25" s="589"/>
      <c r="K25" s="589"/>
      <c r="L25" s="589"/>
      <c r="M25" s="589"/>
      <c r="N25" s="589"/>
      <c r="O25" s="589"/>
      <c r="P25" s="589"/>
      <c r="Q25" s="589"/>
      <c r="R25" s="589"/>
      <c r="S25" s="590"/>
    </row>
    <row r="26" spans="2:19" ht="20.100000000000001" customHeight="1" x14ac:dyDescent="0.25">
      <c r="B26" s="591"/>
      <c r="C26" s="592"/>
      <c r="D26" s="592"/>
      <c r="E26" s="592"/>
      <c r="F26" s="592"/>
      <c r="G26" s="592"/>
      <c r="H26" s="592"/>
      <c r="I26" s="592"/>
      <c r="J26" s="592"/>
      <c r="K26" s="592"/>
      <c r="L26" s="592"/>
      <c r="M26" s="592"/>
      <c r="N26" s="592"/>
      <c r="O26" s="592"/>
      <c r="P26" s="592"/>
      <c r="Q26" s="592"/>
      <c r="R26" s="592"/>
      <c r="S26" s="593"/>
    </row>
    <row r="27" spans="2:19" ht="20.25" customHeight="1" x14ac:dyDescent="0.25">
      <c r="B27" s="594" t="s">
        <v>268</v>
      </c>
      <c r="C27" s="595"/>
      <c r="D27" s="595"/>
      <c r="E27" s="595"/>
      <c r="F27" s="595"/>
      <c r="G27" s="595"/>
      <c r="H27" s="595"/>
      <c r="I27" s="595"/>
      <c r="J27" s="595"/>
      <c r="K27" s="595"/>
      <c r="L27" s="595"/>
      <c r="M27" s="595"/>
      <c r="N27" s="595"/>
      <c r="O27" s="595"/>
      <c r="P27" s="595"/>
      <c r="Q27" s="595"/>
      <c r="R27" s="595"/>
      <c r="S27" s="596"/>
    </row>
    <row r="28" spans="2:19" ht="20.25" customHeight="1" x14ac:dyDescent="0.25">
      <c r="B28" s="591"/>
      <c r="C28" s="592"/>
      <c r="D28" s="592"/>
      <c r="E28" s="592"/>
      <c r="F28" s="592"/>
      <c r="G28" s="592"/>
      <c r="H28" s="592"/>
      <c r="I28" s="592"/>
      <c r="J28" s="592"/>
      <c r="K28" s="592"/>
      <c r="L28" s="592"/>
      <c r="M28" s="592"/>
      <c r="N28" s="592"/>
      <c r="O28" s="592"/>
      <c r="P28" s="592"/>
      <c r="Q28" s="592"/>
      <c r="R28" s="592"/>
      <c r="S28" s="593"/>
    </row>
    <row r="29" spans="2:19" ht="20.25" customHeight="1" x14ac:dyDescent="0.25">
      <c r="B29" s="594" t="s">
        <v>269</v>
      </c>
      <c r="C29" s="595"/>
      <c r="D29" s="595"/>
      <c r="E29" s="595"/>
      <c r="F29" s="595"/>
      <c r="G29" s="595"/>
      <c r="H29" s="595"/>
      <c r="I29" s="595"/>
      <c r="J29" s="595"/>
      <c r="K29" s="595"/>
      <c r="L29" s="595"/>
      <c r="M29" s="595"/>
      <c r="N29" s="595"/>
      <c r="O29" s="595"/>
      <c r="P29" s="595"/>
      <c r="Q29" s="595"/>
      <c r="R29" s="595"/>
      <c r="S29" s="596"/>
    </row>
    <row r="30" spans="2:19" ht="20.25" customHeight="1" x14ac:dyDescent="0.25">
      <c r="B30" s="331"/>
      <c r="C30" s="577" t="s">
        <v>270</v>
      </c>
      <c r="D30" s="577"/>
      <c r="E30" s="577"/>
      <c r="F30" s="577"/>
      <c r="G30" s="577"/>
      <c r="H30" s="577"/>
      <c r="I30" s="577"/>
      <c r="J30" s="577"/>
      <c r="K30" s="577"/>
      <c r="L30" s="577"/>
      <c r="M30" s="577"/>
      <c r="N30" s="577"/>
      <c r="O30" s="577"/>
      <c r="P30" s="577"/>
      <c r="Q30" s="577"/>
      <c r="R30" s="577"/>
      <c r="S30" s="578"/>
    </row>
    <row r="31" spans="2:19" ht="20.25" customHeight="1" x14ac:dyDescent="0.25">
      <c r="B31" s="331"/>
      <c r="C31" s="577" t="s">
        <v>271</v>
      </c>
      <c r="D31" s="577"/>
      <c r="E31" s="577"/>
      <c r="F31" s="577"/>
      <c r="G31" s="577"/>
      <c r="H31" s="577"/>
      <c r="I31" s="577"/>
      <c r="J31" s="577"/>
      <c r="K31" s="577"/>
      <c r="L31" s="577"/>
      <c r="M31" s="577"/>
      <c r="N31" s="577"/>
      <c r="O31" s="577"/>
      <c r="P31" s="577"/>
      <c r="Q31" s="577"/>
      <c r="R31" s="577"/>
      <c r="S31" s="578"/>
    </row>
    <row r="32" spans="2:19" ht="20.25" customHeight="1" x14ac:dyDescent="0.25">
      <c r="B32" s="331"/>
      <c r="C32" s="577" t="s">
        <v>272</v>
      </c>
      <c r="D32" s="577"/>
      <c r="E32" s="577"/>
      <c r="F32" s="577"/>
      <c r="G32" s="577"/>
      <c r="H32" s="577"/>
      <c r="I32" s="577"/>
      <c r="J32" s="577"/>
      <c r="K32" s="577"/>
      <c r="L32" s="577"/>
      <c r="M32" s="577"/>
      <c r="N32" s="577"/>
      <c r="O32" s="577"/>
      <c r="P32" s="577"/>
      <c r="Q32" s="577"/>
      <c r="R32" s="577"/>
      <c r="S32" s="578"/>
    </row>
    <row r="33" spans="2:19" ht="20.25" customHeight="1" x14ac:dyDescent="0.25">
      <c r="B33" s="332"/>
      <c r="C33" s="579" t="s">
        <v>273</v>
      </c>
      <c r="D33" s="579"/>
      <c r="E33" s="579"/>
      <c r="F33" s="579"/>
      <c r="G33" s="579"/>
      <c r="H33" s="579"/>
      <c r="I33" s="579"/>
      <c r="J33" s="579"/>
      <c r="K33" s="579"/>
      <c r="L33" s="579"/>
      <c r="M33" s="579"/>
      <c r="N33" s="579"/>
      <c r="O33" s="579"/>
      <c r="P33" s="579"/>
      <c r="Q33" s="579"/>
      <c r="R33" s="579"/>
      <c r="S33" s="580"/>
    </row>
    <row r="35" spans="2:19" ht="21" x14ac:dyDescent="0.25">
      <c r="B35" s="581" t="s">
        <v>274</v>
      </c>
      <c r="C35" s="581"/>
      <c r="D35" s="581"/>
      <c r="E35" s="581"/>
      <c r="F35" s="581"/>
      <c r="G35" s="581"/>
      <c r="H35" s="581"/>
      <c r="I35" s="581"/>
      <c r="J35" s="581"/>
      <c r="K35" s="581"/>
      <c r="L35" s="581"/>
      <c r="M35" s="581"/>
      <c r="N35" s="581"/>
      <c r="O35" s="581"/>
      <c r="P35" s="581"/>
      <c r="Q35" s="581"/>
      <c r="R35" s="581"/>
      <c r="S35" s="581"/>
    </row>
    <row r="36" spans="2:19" ht="20.25" customHeight="1" x14ac:dyDescent="0.25">
      <c r="B36" s="582" t="s">
        <v>333</v>
      </c>
      <c r="C36" s="583"/>
      <c r="D36" s="583"/>
      <c r="E36" s="583"/>
      <c r="F36" s="583"/>
      <c r="G36" s="583"/>
      <c r="H36" s="583"/>
      <c r="I36" s="583"/>
      <c r="J36" s="583"/>
      <c r="K36" s="583"/>
      <c r="L36" s="583"/>
      <c r="M36" s="583"/>
      <c r="N36" s="583"/>
      <c r="O36" s="583"/>
      <c r="P36" s="583"/>
      <c r="Q36" s="583"/>
      <c r="R36" s="583"/>
      <c r="S36" s="584"/>
    </row>
    <row r="37" spans="2:19" ht="21" customHeight="1" x14ac:dyDescent="0.25">
      <c r="B37" s="585"/>
      <c r="C37" s="586"/>
      <c r="D37" s="586"/>
      <c r="E37" s="586"/>
      <c r="F37" s="586"/>
      <c r="G37" s="586"/>
      <c r="H37" s="586"/>
      <c r="I37" s="586"/>
      <c r="J37" s="586"/>
      <c r="K37" s="586"/>
      <c r="L37" s="586"/>
      <c r="M37" s="586"/>
      <c r="N37" s="586"/>
      <c r="O37" s="586"/>
      <c r="P37" s="586"/>
      <c r="Q37" s="586"/>
      <c r="R37" s="586"/>
      <c r="S37" s="587"/>
    </row>
    <row r="38" spans="2:19" ht="21" customHeight="1" x14ac:dyDescent="0.25">
      <c r="B38" s="582" t="s">
        <v>334</v>
      </c>
      <c r="C38" s="583"/>
      <c r="D38" s="583"/>
      <c r="E38" s="583"/>
      <c r="F38" s="583"/>
      <c r="G38" s="583"/>
      <c r="H38" s="583"/>
      <c r="I38" s="583"/>
      <c r="J38" s="583"/>
      <c r="K38" s="583"/>
      <c r="L38" s="583"/>
      <c r="M38" s="583"/>
      <c r="N38" s="583"/>
      <c r="O38" s="583"/>
      <c r="P38" s="583"/>
      <c r="Q38" s="583"/>
      <c r="R38" s="583"/>
      <c r="S38" s="584"/>
    </row>
    <row r="39" spans="2:19" ht="21" customHeight="1" x14ac:dyDescent="0.25">
      <c r="B39" s="585"/>
      <c r="C39" s="586"/>
      <c r="D39" s="586"/>
      <c r="E39" s="586"/>
      <c r="F39" s="586"/>
      <c r="G39" s="586"/>
      <c r="H39" s="586"/>
      <c r="I39" s="586"/>
      <c r="J39" s="586"/>
      <c r="K39" s="586"/>
      <c r="L39" s="586"/>
      <c r="M39" s="586"/>
      <c r="N39" s="586"/>
      <c r="O39" s="586"/>
      <c r="P39" s="586"/>
      <c r="Q39" s="586"/>
      <c r="R39" s="586"/>
      <c r="S39" s="587"/>
    </row>
    <row r="40" spans="2:19" ht="21" customHeight="1" x14ac:dyDescent="0.25">
      <c r="B40" s="585"/>
      <c r="C40" s="586"/>
      <c r="D40" s="586"/>
      <c r="E40" s="586"/>
      <c r="F40" s="586"/>
      <c r="G40" s="586"/>
      <c r="H40" s="586"/>
      <c r="I40" s="586"/>
      <c r="J40" s="586"/>
      <c r="K40" s="586"/>
      <c r="L40" s="586"/>
      <c r="M40" s="586"/>
      <c r="N40" s="586"/>
      <c r="O40" s="586"/>
      <c r="P40" s="586"/>
      <c r="Q40" s="586"/>
      <c r="R40" s="586"/>
      <c r="S40" s="587"/>
    </row>
    <row r="41" spans="2:19" ht="21" customHeight="1" x14ac:dyDescent="0.25">
      <c r="B41" s="585"/>
      <c r="C41" s="586"/>
      <c r="D41" s="586"/>
      <c r="E41" s="586"/>
      <c r="F41" s="586"/>
      <c r="G41" s="586"/>
      <c r="H41" s="586"/>
      <c r="I41" s="586"/>
      <c r="J41" s="586"/>
      <c r="K41" s="586"/>
      <c r="L41" s="586"/>
      <c r="M41" s="586"/>
      <c r="N41" s="586"/>
      <c r="O41" s="586"/>
      <c r="P41" s="586"/>
      <c r="Q41" s="586"/>
      <c r="R41" s="586"/>
      <c r="S41" s="587"/>
    </row>
    <row r="42" spans="2:19" ht="20.25" customHeight="1" x14ac:dyDescent="0.25">
      <c r="B42" s="588" t="s">
        <v>335</v>
      </c>
      <c r="C42" s="589"/>
      <c r="D42" s="589"/>
      <c r="E42" s="589"/>
      <c r="F42" s="589"/>
      <c r="G42" s="589"/>
      <c r="H42" s="589"/>
      <c r="I42" s="589"/>
      <c r="J42" s="589"/>
      <c r="K42" s="589"/>
      <c r="L42" s="589"/>
      <c r="M42" s="589"/>
      <c r="N42" s="589"/>
      <c r="O42" s="589"/>
      <c r="P42" s="589"/>
      <c r="Q42" s="589"/>
      <c r="R42" s="589"/>
      <c r="S42" s="590"/>
    </row>
    <row r="43" spans="2:19" ht="20.25" customHeight="1" x14ac:dyDescent="0.25">
      <c r="B43" s="588"/>
      <c r="C43" s="589"/>
      <c r="D43" s="589"/>
      <c r="E43" s="589"/>
      <c r="F43" s="589"/>
      <c r="G43" s="589"/>
      <c r="H43" s="589"/>
      <c r="I43" s="589"/>
      <c r="J43" s="589"/>
      <c r="K43" s="589"/>
      <c r="L43" s="589"/>
      <c r="M43" s="589"/>
      <c r="N43" s="589"/>
      <c r="O43" s="589"/>
      <c r="P43" s="589"/>
      <c r="Q43" s="589"/>
      <c r="R43" s="589"/>
      <c r="S43" s="590"/>
    </row>
    <row r="44" spans="2:19" ht="21" customHeight="1" x14ac:dyDescent="0.25">
      <c r="B44" s="588"/>
      <c r="C44" s="589"/>
      <c r="D44" s="589"/>
      <c r="E44" s="589"/>
      <c r="F44" s="589"/>
      <c r="G44" s="589"/>
      <c r="H44" s="589"/>
      <c r="I44" s="589"/>
      <c r="J44" s="589"/>
      <c r="K44" s="589"/>
      <c r="L44" s="589"/>
      <c r="M44" s="589"/>
      <c r="N44" s="589"/>
      <c r="O44" s="589"/>
      <c r="P44" s="589"/>
      <c r="Q44" s="589"/>
      <c r="R44" s="589"/>
      <c r="S44" s="590"/>
    </row>
    <row r="45" spans="2:19" ht="20.25" customHeight="1" x14ac:dyDescent="0.25">
      <c r="B45" s="591"/>
      <c r="C45" s="592"/>
      <c r="D45" s="592"/>
      <c r="E45" s="592"/>
      <c r="F45" s="592"/>
      <c r="G45" s="592"/>
      <c r="H45" s="592"/>
      <c r="I45" s="592"/>
      <c r="J45" s="592"/>
      <c r="K45" s="592"/>
      <c r="L45" s="592"/>
      <c r="M45" s="592"/>
      <c r="N45" s="592"/>
      <c r="O45" s="592"/>
      <c r="P45" s="592"/>
      <c r="Q45" s="592"/>
      <c r="R45" s="592"/>
      <c r="S45" s="593"/>
    </row>
    <row r="47" spans="2:19" ht="21" x14ac:dyDescent="0.25">
      <c r="B47" s="581" t="s">
        <v>275</v>
      </c>
      <c r="C47" s="581"/>
      <c r="D47" s="581"/>
      <c r="E47" s="581"/>
      <c r="F47" s="581"/>
      <c r="G47" s="581"/>
      <c r="H47" s="581"/>
      <c r="I47" s="581"/>
      <c r="J47" s="581"/>
      <c r="K47" s="581"/>
      <c r="L47" s="581"/>
      <c r="M47" s="581"/>
      <c r="N47" s="581"/>
      <c r="O47" s="581"/>
      <c r="P47" s="581"/>
      <c r="Q47" s="581"/>
      <c r="R47" s="581"/>
      <c r="S47" s="581"/>
    </row>
    <row r="48" spans="2:19" ht="21" customHeight="1" x14ac:dyDescent="0.25">
      <c r="B48" s="594" t="s">
        <v>276</v>
      </c>
      <c r="C48" s="595"/>
      <c r="D48" s="595"/>
      <c r="E48" s="595"/>
      <c r="F48" s="595"/>
      <c r="G48" s="595"/>
      <c r="H48" s="595"/>
      <c r="I48" s="595"/>
      <c r="J48" s="595"/>
      <c r="K48" s="595"/>
      <c r="L48" s="595"/>
      <c r="M48" s="595"/>
      <c r="N48" s="595"/>
      <c r="O48" s="595"/>
      <c r="P48" s="595"/>
      <c r="Q48" s="595"/>
      <c r="R48" s="595"/>
      <c r="S48" s="596"/>
    </row>
    <row r="49" spans="2:20" ht="20.25" customHeight="1" x14ac:dyDescent="0.25">
      <c r="B49" s="591"/>
      <c r="C49" s="592"/>
      <c r="D49" s="592"/>
      <c r="E49" s="592"/>
      <c r="F49" s="592"/>
      <c r="G49" s="592"/>
      <c r="H49" s="592"/>
      <c r="I49" s="592"/>
      <c r="J49" s="592"/>
      <c r="K49" s="592"/>
      <c r="L49" s="592"/>
      <c r="M49" s="592"/>
      <c r="N49" s="592"/>
      <c r="O49" s="592"/>
      <c r="P49" s="592"/>
      <c r="Q49" s="592"/>
      <c r="R49" s="592"/>
      <c r="S49" s="593"/>
    </row>
    <row r="50" spans="2:20" ht="20.25" customHeight="1" x14ac:dyDescent="0.25">
      <c r="B50" s="588" t="s">
        <v>336</v>
      </c>
      <c r="C50" s="589"/>
      <c r="D50" s="589"/>
      <c r="E50" s="589"/>
      <c r="F50" s="589"/>
      <c r="G50" s="589"/>
      <c r="H50" s="589"/>
      <c r="I50" s="589"/>
      <c r="J50" s="589"/>
      <c r="K50" s="589"/>
      <c r="L50" s="589"/>
      <c r="M50" s="589"/>
      <c r="N50" s="589"/>
      <c r="O50" s="589"/>
      <c r="P50" s="589"/>
      <c r="Q50" s="589"/>
      <c r="R50" s="589"/>
      <c r="S50" s="590"/>
    </row>
    <row r="51" spans="2:20" ht="20.25" customHeight="1" x14ac:dyDescent="0.25">
      <c r="B51" s="588"/>
      <c r="C51" s="589"/>
      <c r="D51" s="589"/>
      <c r="E51" s="589"/>
      <c r="F51" s="589"/>
      <c r="G51" s="589"/>
      <c r="H51" s="589"/>
      <c r="I51" s="589"/>
      <c r="J51" s="589"/>
      <c r="K51" s="589"/>
      <c r="L51" s="589"/>
      <c r="M51" s="589"/>
      <c r="N51" s="589"/>
      <c r="O51" s="589"/>
      <c r="P51" s="589"/>
      <c r="Q51" s="589"/>
      <c r="R51" s="589"/>
      <c r="S51" s="590"/>
    </row>
    <row r="52" spans="2:20" ht="20.25" customHeight="1" x14ac:dyDescent="0.25">
      <c r="B52" s="597" t="s">
        <v>337</v>
      </c>
      <c r="C52" s="598"/>
      <c r="D52" s="598"/>
      <c r="E52" s="598"/>
      <c r="F52" s="598"/>
      <c r="G52" s="598"/>
      <c r="H52" s="598"/>
      <c r="I52" s="598"/>
      <c r="J52" s="598"/>
      <c r="K52" s="598"/>
      <c r="L52" s="598"/>
      <c r="M52" s="598"/>
      <c r="N52" s="598"/>
      <c r="O52" s="598"/>
      <c r="P52" s="598"/>
      <c r="Q52" s="598"/>
      <c r="R52" s="598"/>
      <c r="S52" s="599"/>
    </row>
    <row r="53" spans="2:20" ht="21" customHeight="1" x14ac:dyDescent="0.25">
      <c r="B53" s="600"/>
      <c r="C53" s="601"/>
      <c r="D53" s="601"/>
      <c r="E53" s="601"/>
      <c r="F53" s="601"/>
      <c r="G53" s="601"/>
      <c r="H53" s="601"/>
      <c r="I53" s="601"/>
      <c r="J53" s="601"/>
      <c r="K53" s="601"/>
      <c r="L53" s="601"/>
      <c r="M53" s="601"/>
      <c r="N53" s="601"/>
      <c r="O53" s="601"/>
      <c r="P53" s="601"/>
      <c r="Q53" s="601"/>
      <c r="R53" s="601"/>
      <c r="S53" s="602"/>
    </row>
    <row r="54" spans="2:20" ht="21" customHeight="1" x14ac:dyDescent="0.25">
      <c r="B54" s="600"/>
      <c r="C54" s="601"/>
      <c r="D54" s="601"/>
      <c r="E54" s="601"/>
      <c r="F54" s="601"/>
      <c r="G54" s="601"/>
      <c r="H54" s="601"/>
      <c r="I54" s="601"/>
      <c r="J54" s="601"/>
      <c r="K54" s="601"/>
      <c r="L54" s="601"/>
      <c r="M54" s="601"/>
      <c r="N54" s="601"/>
      <c r="O54" s="601"/>
      <c r="P54" s="601"/>
      <c r="Q54" s="601"/>
      <c r="R54" s="601"/>
      <c r="S54" s="602"/>
    </row>
    <row r="55" spans="2:20" ht="21" customHeight="1" x14ac:dyDescent="0.25">
      <c r="B55" s="603"/>
      <c r="C55" s="604"/>
      <c r="D55" s="604"/>
      <c r="E55" s="604"/>
      <c r="F55" s="604"/>
      <c r="G55" s="604"/>
      <c r="H55" s="604"/>
      <c r="I55" s="604"/>
      <c r="J55" s="604"/>
      <c r="K55" s="604"/>
      <c r="L55" s="604"/>
      <c r="M55" s="604"/>
      <c r="N55" s="604"/>
      <c r="O55" s="604"/>
      <c r="P55" s="604"/>
      <c r="Q55" s="604"/>
      <c r="R55" s="604"/>
      <c r="S55" s="605"/>
    </row>
    <row r="56" spans="2:20" ht="21" customHeight="1" x14ac:dyDescent="0.25">
      <c r="B56" s="597" t="s">
        <v>338</v>
      </c>
      <c r="C56" s="598"/>
      <c r="D56" s="598"/>
      <c r="E56" s="598"/>
      <c r="F56" s="598"/>
      <c r="G56" s="598"/>
      <c r="H56" s="598"/>
      <c r="I56" s="598"/>
      <c r="J56" s="598"/>
      <c r="K56" s="598"/>
      <c r="L56" s="598"/>
      <c r="M56" s="598"/>
      <c r="N56" s="598"/>
      <c r="O56" s="598"/>
      <c r="P56" s="598"/>
      <c r="Q56" s="598"/>
      <c r="R56" s="598"/>
      <c r="S56" s="606"/>
      <c r="T56" s="333"/>
    </row>
    <row r="57" spans="2:20" ht="21" customHeight="1" x14ac:dyDescent="0.25">
      <c r="B57" s="603"/>
      <c r="C57" s="604"/>
      <c r="D57" s="604"/>
      <c r="E57" s="604"/>
      <c r="F57" s="604"/>
      <c r="G57" s="604"/>
      <c r="H57" s="604"/>
      <c r="I57" s="604"/>
      <c r="J57" s="604"/>
      <c r="K57" s="604"/>
      <c r="L57" s="604"/>
      <c r="M57" s="604"/>
      <c r="N57" s="604"/>
      <c r="O57" s="604"/>
      <c r="P57" s="604"/>
      <c r="Q57" s="604"/>
      <c r="R57" s="604"/>
      <c r="S57" s="607"/>
      <c r="T57" s="333"/>
    </row>
    <row r="59" spans="2:20" ht="21" customHeight="1" x14ac:dyDescent="0.25">
      <c r="B59" s="576" t="s">
        <v>277</v>
      </c>
      <c r="C59" s="576"/>
      <c r="D59" s="576"/>
      <c r="E59" s="576"/>
      <c r="F59" s="576"/>
      <c r="G59" s="576"/>
      <c r="H59" s="576"/>
      <c r="I59" s="576"/>
      <c r="J59" s="576"/>
      <c r="K59" s="576"/>
      <c r="L59" s="576"/>
      <c r="M59" s="576"/>
      <c r="N59" s="576"/>
      <c r="O59" s="576"/>
      <c r="P59" s="576"/>
      <c r="Q59" s="576"/>
      <c r="R59" s="576"/>
      <c r="S59" s="576"/>
    </row>
    <row r="60" spans="2:20" ht="21" customHeight="1" x14ac:dyDescent="0.25">
      <c r="B60" s="576"/>
      <c r="C60" s="576"/>
      <c r="D60" s="576"/>
      <c r="E60" s="576"/>
      <c r="F60" s="576"/>
      <c r="G60" s="576"/>
      <c r="H60" s="576"/>
      <c r="I60" s="576"/>
      <c r="J60" s="576"/>
      <c r="K60" s="576"/>
      <c r="L60" s="576"/>
      <c r="M60" s="576"/>
      <c r="N60" s="576"/>
      <c r="O60" s="576"/>
      <c r="P60" s="576"/>
      <c r="Q60" s="576"/>
      <c r="R60" s="576"/>
      <c r="S60" s="576"/>
    </row>
  </sheetData>
  <mergeCells count="24">
    <mergeCell ref="C31:S31"/>
    <mergeCell ref="D10:Q10"/>
    <mergeCell ref="B12:S12"/>
    <mergeCell ref="B13:S14"/>
    <mergeCell ref="B15:S16"/>
    <mergeCell ref="B18:S18"/>
    <mergeCell ref="B19:S20"/>
    <mergeCell ref="B21:S23"/>
    <mergeCell ref="B24:S26"/>
    <mergeCell ref="B27:S28"/>
    <mergeCell ref="B29:S29"/>
    <mergeCell ref="C30:S30"/>
    <mergeCell ref="B59:S60"/>
    <mergeCell ref="C32:S32"/>
    <mergeCell ref="C33:S33"/>
    <mergeCell ref="B35:S35"/>
    <mergeCell ref="B36:S37"/>
    <mergeCell ref="B38:S41"/>
    <mergeCell ref="B42:S45"/>
    <mergeCell ref="B47:S47"/>
    <mergeCell ref="B48:S49"/>
    <mergeCell ref="B50:S51"/>
    <mergeCell ref="B52:S55"/>
    <mergeCell ref="B56:S5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X39"/>
  <sheetViews>
    <sheetView zoomScale="80" zoomScaleNormal="80" workbookViewId="0">
      <selection activeCell="O53" sqref="O53"/>
    </sheetView>
  </sheetViews>
  <sheetFormatPr defaultColWidth="8.7109375" defaultRowHeight="15" x14ac:dyDescent="0.25"/>
  <cols>
    <col min="1" max="1" width="52" style="328" customWidth="1"/>
    <col min="2" max="2" width="45.42578125" style="328" customWidth="1"/>
    <col min="3" max="4" width="11" style="328" customWidth="1"/>
    <col min="5" max="7" width="11" style="328" bestFit="1" customWidth="1"/>
    <col min="8" max="8" width="11" style="328" customWidth="1"/>
    <col min="9" max="11" width="11.140625" style="328" bestFit="1" customWidth="1"/>
    <col min="12" max="14" width="11.7109375" style="328" bestFit="1" customWidth="1"/>
    <col min="15" max="16384" width="8.7109375" style="328"/>
  </cols>
  <sheetData>
    <row r="1" spans="1:22" ht="14.45" customHeight="1" thickBot="1" x14ac:dyDescent="0.3">
      <c r="A1" s="619" t="s">
        <v>139</v>
      </c>
      <c r="B1" s="620"/>
      <c r="C1" s="494" t="s">
        <v>259</v>
      </c>
      <c r="D1" s="495" t="s">
        <v>260</v>
      </c>
      <c r="E1" s="495" t="s">
        <v>241</v>
      </c>
      <c r="F1" s="495" t="s">
        <v>200</v>
      </c>
      <c r="G1" s="495" t="s">
        <v>240</v>
      </c>
      <c r="H1" s="495" t="s">
        <v>261</v>
      </c>
      <c r="I1" s="495" t="s">
        <v>278</v>
      </c>
      <c r="J1" s="495" t="s">
        <v>318</v>
      </c>
      <c r="K1" s="495" t="s">
        <v>329</v>
      </c>
      <c r="L1" s="495" t="s">
        <v>422</v>
      </c>
      <c r="M1" s="495" t="s">
        <v>462</v>
      </c>
      <c r="N1" s="495" t="s">
        <v>498</v>
      </c>
      <c r="O1" s="327"/>
      <c r="P1" s="327"/>
      <c r="Q1" s="327"/>
      <c r="R1" s="327"/>
      <c r="S1" s="327"/>
    </row>
    <row r="2" spans="1:22" ht="14.45" customHeight="1" x14ac:dyDescent="0.25">
      <c r="A2" s="614" t="s">
        <v>244</v>
      </c>
      <c r="B2" s="334" t="s">
        <v>339</v>
      </c>
      <c r="C2" s="496"/>
      <c r="D2" s="335"/>
      <c r="E2" s="336"/>
      <c r="F2" s="335">
        <v>0.76900000000000002</v>
      </c>
      <c r="G2" s="335">
        <v>0.79890000000000005</v>
      </c>
      <c r="H2" s="335">
        <v>0.85109999999999997</v>
      </c>
      <c r="I2" s="335">
        <v>0.77929999999999999</v>
      </c>
      <c r="J2" s="335">
        <v>0.81989999999999996</v>
      </c>
      <c r="K2" s="335">
        <v>0.8276</v>
      </c>
      <c r="L2" s="335">
        <v>0.77159999999999995</v>
      </c>
      <c r="M2" s="335">
        <v>0.80269999999999997</v>
      </c>
      <c r="N2" s="335">
        <v>0.83499999999999996</v>
      </c>
      <c r="O2" s="327"/>
      <c r="P2" s="327"/>
      <c r="Q2" s="327"/>
      <c r="R2" s="327"/>
      <c r="S2" s="327"/>
    </row>
    <row r="3" spans="1:22" ht="14.45" customHeight="1" thickBot="1" x14ac:dyDescent="0.3">
      <c r="A3" s="615"/>
      <c r="B3" s="337" t="s">
        <v>340</v>
      </c>
      <c r="C3" s="497"/>
      <c r="D3" s="338"/>
      <c r="E3" s="338"/>
      <c r="F3" s="338">
        <v>0.85</v>
      </c>
      <c r="G3" s="338">
        <v>0.88</v>
      </c>
      <c r="H3" s="338">
        <v>0.89</v>
      </c>
      <c r="I3" s="338">
        <v>0.9</v>
      </c>
      <c r="J3" s="338">
        <v>0.88</v>
      </c>
      <c r="K3" s="338">
        <v>0.88</v>
      </c>
      <c r="L3" s="338">
        <v>0.76</v>
      </c>
      <c r="M3" s="338">
        <v>0.73</v>
      </c>
      <c r="N3" s="338">
        <v>0.73419999999999996</v>
      </c>
      <c r="O3" s="327"/>
      <c r="P3" s="327"/>
      <c r="Q3" s="327"/>
      <c r="R3" s="327"/>
      <c r="S3" s="327"/>
    </row>
    <row r="4" spans="1:22" ht="14.45" hidden="1" customHeight="1" thickBot="1" x14ac:dyDescent="0.3">
      <c r="A4" s="339"/>
      <c r="B4" s="340" t="s">
        <v>221</v>
      </c>
      <c r="C4" s="341">
        <v>0.9</v>
      </c>
      <c r="D4" s="341">
        <v>0.9</v>
      </c>
      <c r="E4" s="341">
        <v>0.9</v>
      </c>
      <c r="F4" s="341">
        <v>0.9</v>
      </c>
      <c r="G4" s="341">
        <v>0.9</v>
      </c>
      <c r="H4" s="341">
        <v>0.9</v>
      </c>
      <c r="I4" s="341">
        <v>0.9</v>
      </c>
      <c r="J4" s="341">
        <v>0.9</v>
      </c>
      <c r="K4" s="341">
        <v>0.9</v>
      </c>
      <c r="L4" s="341">
        <v>0.9</v>
      </c>
      <c r="M4" s="341">
        <v>0.9</v>
      </c>
      <c r="N4" s="341">
        <v>0.9</v>
      </c>
      <c r="O4" s="341">
        <v>0.9</v>
      </c>
      <c r="P4" s="341">
        <v>0.9</v>
      </c>
      <c r="Q4" s="341">
        <v>0.9</v>
      </c>
      <c r="R4" s="341">
        <v>0.9</v>
      </c>
      <c r="S4" s="327"/>
    </row>
    <row r="5" spans="1:22" ht="14.45" customHeight="1" thickBot="1" x14ac:dyDescent="0.3">
      <c r="A5" s="621" t="s">
        <v>341</v>
      </c>
      <c r="B5" s="622"/>
      <c r="C5" s="498">
        <v>4.9700000000000001E-2</v>
      </c>
      <c r="D5" s="342">
        <v>5.0700000000000002E-2</v>
      </c>
      <c r="E5" s="342">
        <v>4.6100000000000002E-2</v>
      </c>
      <c r="F5" s="342">
        <v>4.5999999999999999E-2</v>
      </c>
      <c r="G5" s="342">
        <v>5.2600000000000001E-2</v>
      </c>
      <c r="H5" s="342">
        <v>4.8800000000000003E-2</v>
      </c>
      <c r="I5" s="342">
        <v>4.8399999999999999E-2</v>
      </c>
      <c r="J5" s="342">
        <v>6.0499999999999998E-2</v>
      </c>
      <c r="K5" s="342">
        <v>6.4699999999999994E-2</v>
      </c>
      <c r="L5" s="342">
        <v>7.3499999999999996E-2</v>
      </c>
      <c r="M5" s="338">
        <v>6.1800000000000001E-2</v>
      </c>
      <c r="N5" s="338">
        <v>6.2799999999999995E-2</v>
      </c>
      <c r="O5" s="327"/>
      <c r="P5" s="327"/>
      <c r="Q5" s="327"/>
      <c r="R5" s="327"/>
      <c r="S5" s="327"/>
    </row>
    <row r="6" spans="1:22" ht="14.45" hidden="1" customHeight="1" thickBot="1" x14ac:dyDescent="0.3">
      <c r="A6" s="343"/>
      <c r="B6" s="344" t="s">
        <v>221</v>
      </c>
      <c r="C6" s="341">
        <v>3.9800000000000002E-2</v>
      </c>
      <c r="D6" s="341">
        <v>3.9800000000000002E-2</v>
      </c>
      <c r="E6" s="341">
        <v>3.9800000000000002E-2</v>
      </c>
      <c r="F6" s="341">
        <v>3.9800000000000002E-2</v>
      </c>
      <c r="G6" s="341">
        <v>3.9800000000000002E-2</v>
      </c>
      <c r="H6" s="341">
        <v>3.9800000000000002E-2</v>
      </c>
      <c r="I6" s="341">
        <v>3.9800000000000002E-2</v>
      </c>
      <c r="J6" s="341">
        <v>3.9800000000000002E-2</v>
      </c>
      <c r="K6" s="341">
        <v>3.9800000000000002E-2</v>
      </c>
      <c r="L6" s="341">
        <v>3.9800000000000002E-2</v>
      </c>
      <c r="M6" s="341">
        <v>3.9800000000000002E-2</v>
      </c>
      <c r="N6" s="341">
        <v>3.9800000000000002E-2</v>
      </c>
      <c r="O6" s="341">
        <v>3.9800000000000002E-2</v>
      </c>
      <c r="P6" s="341">
        <v>3.9800000000000002E-2</v>
      </c>
      <c r="Q6" s="341">
        <v>3.9800000000000002E-2</v>
      </c>
      <c r="R6" s="341">
        <v>3.9800000000000002E-2</v>
      </c>
      <c r="S6" s="341">
        <v>3.9800000000000002E-2</v>
      </c>
      <c r="T6" s="341">
        <v>3.9800000000000002E-2</v>
      </c>
      <c r="U6" s="341">
        <v>3.9800000000000002E-2</v>
      </c>
      <c r="V6" s="341">
        <v>3.9800000000000002E-2</v>
      </c>
    </row>
    <row r="7" spans="1:22" ht="14.45" customHeight="1" thickBot="1" x14ac:dyDescent="0.3">
      <c r="A7" s="621" t="s">
        <v>342</v>
      </c>
      <c r="B7" s="622"/>
      <c r="C7" s="498">
        <v>2.5999999999999999E-2</v>
      </c>
      <c r="D7" s="342">
        <v>2.7799999999999998E-2</v>
      </c>
      <c r="E7" s="342">
        <v>1.9800000000000002E-2</v>
      </c>
      <c r="F7" s="342">
        <v>6.1199999999999997E-2</v>
      </c>
      <c r="G7" s="342">
        <v>2.4799999999999999E-2</v>
      </c>
      <c r="H7" s="342">
        <v>2.3300000000000001E-2</v>
      </c>
      <c r="I7" s="342">
        <v>3.6700000000000003E-2</v>
      </c>
      <c r="J7" s="342">
        <v>4.5499999999999999E-2</v>
      </c>
      <c r="K7" s="342">
        <v>3.1899999999999998E-2</v>
      </c>
      <c r="L7" s="342">
        <v>3.2199999999999999E-2</v>
      </c>
      <c r="M7" s="338">
        <v>3.0599999999999999E-2</v>
      </c>
      <c r="N7" s="338">
        <v>5.0500000000000003E-2</v>
      </c>
      <c r="O7" s="327"/>
      <c r="P7" s="327"/>
      <c r="Q7" s="327"/>
      <c r="R7" s="327"/>
      <c r="S7" s="327"/>
    </row>
    <row r="8" spans="1:22" ht="14.45" hidden="1" customHeight="1" thickBot="1" x14ac:dyDescent="0.3">
      <c r="A8" s="343"/>
      <c r="B8" s="344" t="s">
        <v>221</v>
      </c>
      <c r="C8" s="341">
        <v>0.1</v>
      </c>
      <c r="D8" s="341">
        <v>0.1</v>
      </c>
      <c r="E8" s="341">
        <v>0.1</v>
      </c>
      <c r="F8" s="341">
        <v>0.1</v>
      </c>
      <c r="G8" s="341">
        <v>0.1</v>
      </c>
      <c r="H8" s="341">
        <v>0.1</v>
      </c>
      <c r="I8" s="341">
        <v>0.1</v>
      </c>
      <c r="J8" s="341">
        <v>0.1</v>
      </c>
      <c r="K8" s="341">
        <v>0.1</v>
      </c>
      <c r="L8" s="341">
        <v>0.1</v>
      </c>
      <c r="M8" s="341">
        <v>0.1</v>
      </c>
      <c r="N8" s="341">
        <v>0.1</v>
      </c>
      <c r="O8" s="341">
        <v>0.1</v>
      </c>
      <c r="P8" s="341">
        <v>0.1</v>
      </c>
      <c r="Q8" s="341">
        <v>0.1</v>
      </c>
      <c r="R8" s="341">
        <v>0.1</v>
      </c>
      <c r="S8" s="341">
        <v>0.1</v>
      </c>
    </row>
    <row r="9" spans="1:22" ht="14.45" customHeight="1" x14ac:dyDescent="0.25">
      <c r="A9" s="614" t="s">
        <v>343</v>
      </c>
      <c r="B9" s="334" t="s">
        <v>344</v>
      </c>
      <c r="C9" s="499"/>
      <c r="D9" s="345"/>
      <c r="E9" s="345"/>
      <c r="F9" s="345"/>
      <c r="G9" s="345"/>
      <c r="H9" s="345"/>
      <c r="I9" s="345"/>
      <c r="J9" s="371">
        <v>6.7</v>
      </c>
      <c r="K9" s="371">
        <v>6.7</v>
      </c>
      <c r="L9" s="371">
        <v>6.5</v>
      </c>
      <c r="M9" s="493">
        <v>6.7</v>
      </c>
      <c r="N9" s="493">
        <v>6.5</v>
      </c>
    </row>
    <row r="10" spans="1:22" ht="14.45" customHeight="1" x14ac:dyDescent="0.25">
      <c r="A10" s="623"/>
      <c r="B10" s="344" t="s">
        <v>345</v>
      </c>
      <c r="C10" s="500"/>
      <c r="D10" s="374"/>
      <c r="E10" s="374"/>
      <c r="F10" s="374"/>
      <c r="G10" s="374"/>
      <c r="H10" s="374"/>
      <c r="I10" s="374"/>
      <c r="J10" s="372">
        <v>7</v>
      </c>
      <c r="K10" s="372">
        <v>6.6</v>
      </c>
      <c r="L10" s="372">
        <v>6.7</v>
      </c>
      <c r="M10" s="493">
        <v>6.7</v>
      </c>
      <c r="N10" s="493">
        <v>6.4</v>
      </c>
    </row>
    <row r="11" spans="1:22" ht="14.45" customHeight="1" x14ac:dyDescent="0.25">
      <c r="A11" s="623"/>
      <c r="B11" s="344" t="s">
        <v>346</v>
      </c>
      <c r="C11" s="500"/>
      <c r="D11" s="374"/>
      <c r="E11" s="374"/>
      <c r="F11" s="374"/>
      <c r="G11" s="374"/>
      <c r="H11" s="374"/>
      <c r="I11" s="374"/>
      <c r="J11" s="372">
        <v>6.3</v>
      </c>
      <c r="K11" s="372">
        <v>6.6</v>
      </c>
      <c r="L11" s="372">
        <v>6.2</v>
      </c>
      <c r="M11" s="493">
        <v>6.6</v>
      </c>
      <c r="N11" s="493">
        <v>6.3</v>
      </c>
    </row>
    <row r="12" spans="1:22" ht="14.45" customHeight="1" thickBot="1" x14ac:dyDescent="0.3">
      <c r="A12" s="615"/>
      <c r="B12" s="346" t="s">
        <v>347</v>
      </c>
      <c r="C12" s="501"/>
      <c r="D12" s="347"/>
      <c r="E12" s="347"/>
      <c r="F12" s="347"/>
      <c r="G12" s="347"/>
      <c r="H12" s="347"/>
      <c r="I12" s="347"/>
      <c r="J12" s="373">
        <v>6.7</v>
      </c>
      <c r="K12" s="373">
        <v>6.8</v>
      </c>
      <c r="L12" s="373">
        <v>6.7</v>
      </c>
      <c r="M12" s="522">
        <v>7</v>
      </c>
      <c r="N12" s="522">
        <v>6.8</v>
      </c>
    </row>
    <row r="13" spans="1:22" ht="14.45" customHeight="1" x14ac:dyDescent="0.25">
      <c r="A13" s="614" t="s">
        <v>348</v>
      </c>
      <c r="B13" s="348" t="s">
        <v>349</v>
      </c>
      <c r="C13" s="503">
        <v>836</v>
      </c>
      <c r="D13" s="349">
        <v>800</v>
      </c>
      <c r="E13" s="349">
        <v>927</v>
      </c>
      <c r="F13" s="349">
        <v>711</v>
      </c>
      <c r="G13" s="349">
        <v>926</v>
      </c>
      <c r="H13" s="349">
        <v>877</v>
      </c>
      <c r="I13" s="349">
        <v>940</v>
      </c>
      <c r="J13" s="349">
        <v>1051</v>
      </c>
      <c r="K13" s="349">
        <v>962</v>
      </c>
      <c r="L13" s="349">
        <v>783</v>
      </c>
      <c r="M13" s="336">
        <v>990</v>
      </c>
      <c r="N13" s="336">
        <v>1001</v>
      </c>
    </row>
    <row r="14" spans="1:22" ht="14.45" customHeight="1" thickBot="1" x14ac:dyDescent="0.3">
      <c r="A14" s="615"/>
      <c r="B14" s="350" t="s">
        <v>350</v>
      </c>
      <c r="C14" s="504">
        <v>225</v>
      </c>
      <c r="D14" s="351">
        <v>219</v>
      </c>
      <c r="E14" s="351">
        <v>249</v>
      </c>
      <c r="F14" s="351">
        <v>132</v>
      </c>
      <c r="G14" s="351">
        <v>192</v>
      </c>
      <c r="H14" s="351">
        <v>237</v>
      </c>
      <c r="I14" s="351">
        <v>160</v>
      </c>
      <c r="J14" s="351">
        <v>181</v>
      </c>
      <c r="K14" s="351">
        <v>194</v>
      </c>
      <c r="L14" s="351">
        <v>196</v>
      </c>
      <c r="M14" s="502">
        <v>241</v>
      </c>
      <c r="N14" s="502">
        <v>222</v>
      </c>
    </row>
    <row r="15" spans="1:22" ht="14.45" hidden="1" customHeight="1" x14ac:dyDescent="0.25">
      <c r="A15" s="616" t="s">
        <v>351</v>
      </c>
      <c r="B15" s="616"/>
      <c r="C15" s="341"/>
      <c r="D15" s="341"/>
      <c r="E15" s="341"/>
      <c r="F15" s="341"/>
      <c r="G15" s="341"/>
      <c r="H15" s="341"/>
      <c r="I15" s="341"/>
      <c r="J15" s="341"/>
      <c r="L15" s="327"/>
    </row>
    <row r="16" spans="1:22" ht="14.45" customHeight="1" x14ac:dyDescent="0.25">
      <c r="A16" s="327"/>
      <c r="B16" s="327"/>
      <c r="C16" s="327"/>
      <c r="D16" s="327"/>
      <c r="E16" s="327"/>
      <c r="F16" s="327"/>
      <c r="G16" s="327"/>
    </row>
    <row r="18" spans="1:24" ht="20.100000000000001" customHeight="1" x14ac:dyDescent="0.35">
      <c r="A18" s="352"/>
      <c r="B18" s="352"/>
      <c r="C18" s="329"/>
      <c r="D18" s="329"/>
      <c r="E18" s="617" t="s">
        <v>352</v>
      </c>
      <c r="F18" s="617"/>
      <c r="G18" s="617"/>
      <c r="H18" s="617"/>
      <c r="I18" s="617"/>
      <c r="J18" s="617"/>
      <c r="K18" s="617"/>
      <c r="L18" s="617"/>
      <c r="M18" s="617"/>
      <c r="N18" s="617"/>
      <c r="O18" s="617"/>
      <c r="P18" s="617"/>
      <c r="Q18" s="617"/>
      <c r="R18" s="617"/>
      <c r="S18" s="329"/>
      <c r="T18" s="329"/>
      <c r="U18" s="329"/>
      <c r="V18" s="329"/>
      <c r="W18" s="329"/>
      <c r="X18" s="329"/>
    </row>
    <row r="20" spans="1:24" ht="21" x14ac:dyDescent="0.35">
      <c r="F20" s="618"/>
      <c r="G20" s="618"/>
      <c r="H20" s="618"/>
      <c r="I20" s="618"/>
      <c r="J20" s="618"/>
      <c r="K20" s="618"/>
      <c r="L20" s="618"/>
      <c r="M20" s="618"/>
      <c r="N20" s="618"/>
      <c r="O20" s="618"/>
      <c r="P20" s="618"/>
      <c r="Q20" s="618"/>
    </row>
    <row r="39" spans="6:17" ht="21" x14ac:dyDescent="0.35">
      <c r="F39" s="618"/>
      <c r="G39" s="618"/>
      <c r="H39" s="618"/>
      <c r="I39" s="618"/>
      <c r="J39" s="618"/>
      <c r="K39" s="618"/>
      <c r="L39" s="618"/>
      <c r="M39" s="618"/>
      <c r="N39" s="618"/>
      <c r="O39" s="618"/>
      <c r="P39" s="618"/>
      <c r="Q39" s="618"/>
    </row>
  </sheetData>
  <mergeCells count="10">
    <mergeCell ref="A1:B1"/>
    <mergeCell ref="A2:A3"/>
    <mergeCell ref="A5:B5"/>
    <mergeCell ref="A7:B7"/>
    <mergeCell ref="A9:A12"/>
    <mergeCell ref="A13:A14"/>
    <mergeCell ref="A15:B15"/>
    <mergeCell ref="E18:R18"/>
    <mergeCell ref="F20:Q20"/>
    <mergeCell ref="F39:Q39"/>
  </mergeCells>
  <phoneticPr fontId="1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W35"/>
  <sheetViews>
    <sheetView topLeftCell="A10" zoomScale="80" zoomScaleNormal="80" workbookViewId="0">
      <selection activeCell="AC46" sqref="AC46"/>
    </sheetView>
  </sheetViews>
  <sheetFormatPr defaultColWidth="8.7109375" defaultRowHeight="15" x14ac:dyDescent="0.25"/>
  <cols>
    <col min="1" max="1" width="70" style="160" customWidth="1"/>
    <col min="2" max="3" width="11" style="160" hidden="1" customWidth="1"/>
    <col min="4" max="10" width="11.140625" style="160" bestFit="1" customWidth="1"/>
    <col min="11" max="11" width="12.140625" style="160" customWidth="1"/>
    <col min="12" max="12" width="12" style="160" bestFit="1" customWidth="1"/>
    <col min="13" max="13" width="11.7109375" style="160" bestFit="1" customWidth="1"/>
    <col min="14" max="16384" width="8.7109375" style="160"/>
  </cols>
  <sheetData>
    <row r="1" spans="1:23" ht="14.45" customHeight="1" x14ac:dyDescent="0.25">
      <c r="A1" s="155" t="s">
        <v>139</v>
      </c>
      <c r="B1" s="155" t="s">
        <v>259</v>
      </c>
      <c r="C1" s="155" t="s">
        <v>260</v>
      </c>
      <c r="D1" s="155" t="s">
        <v>241</v>
      </c>
      <c r="E1" s="155" t="s">
        <v>200</v>
      </c>
      <c r="F1" s="155" t="s">
        <v>240</v>
      </c>
      <c r="G1" s="155" t="s">
        <v>261</v>
      </c>
      <c r="H1" s="155" t="s">
        <v>278</v>
      </c>
      <c r="I1" s="155" t="s">
        <v>318</v>
      </c>
      <c r="J1" s="154" t="s">
        <v>329</v>
      </c>
      <c r="K1" s="155" t="s">
        <v>422</v>
      </c>
      <c r="L1" s="155" t="s">
        <v>462</v>
      </c>
      <c r="M1" s="155" t="s">
        <v>498</v>
      </c>
    </row>
    <row r="2" spans="1:23" ht="14.45" customHeight="1" x14ac:dyDescent="0.25">
      <c r="A2" s="155" t="s">
        <v>244</v>
      </c>
      <c r="B2" s="155"/>
      <c r="C2" s="155"/>
      <c r="D2" s="295">
        <v>0</v>
      </c>
      <c r="E2" s="295">
        <v>2</v>
      </c>
      <c r="F2" s="295">
        <v>3</v>
      </c>
      <c r="G2" s="295">
        <v>1</v>
      </c>
      <c r="H2" s="295">
        <v>0</v>
      </c>
      <c r="I2" s="295">
        <v>2</v>
      </c>
      <c r="J2" s="295">
        <v>2</v>
      </c>
      <c r="K2" s="295">
        <v>0</v>
      </c>
      <c r="L2" s="295">
        <v>0</v>
      </c>
      <c r="M2" s="295">
        <v>1</v>
      </c>
    </row>
    <row r="3" spans="1:23" ht="14.45" customHeight="1" x14ac:dyDescent="0.25">
      <c r="A3" s="155" t="s">
        <v>361</v>
      </c>
      <c r="B3" s="155"/>
      <c r="C3" s="155"/>
      <c r="D3" s="295">
        <v>7</v>
      </c>
      <c r="E3" s="295">
        <v>6</v>
      </c>
      <c r="F3" s="295">
        <v>4</v>
      </c>
      <c r="G3" s="295">
        <v>5</v>
      </c>
      <c r="H3" s="295">
        <v>5</v>
      </c>
      <c r="I3" s="295">
        <v>5</v>
      </c>
      <c r="J3" s="295">
        <v>1</v>
      </c>
      <c r="K3" s="295">
        <v>0</v>
      </c>
      <c r="L3" s="295">
        <v>2</v>
      </c>
      <c r="M3" s="295">
        <v>1</v>
      </c>
    </row>
    <row r="4" spans="1:23" ht="14.45" customHeight="1" x14ac:dyDescent="0.25">
      <c r="A4" s="155" t="s">
        <v>243</v>
      </c>
      <c r="B4" s="155"/>
      <c r="C4" s="155"/>
      <c r="D4" s="295">
        <v>14</v>
      </c>
      <c r="E4" s="295">
        <v>14</v>
      </c>
      <c r="F4" s="295">
        <v>14</v>
      </c>
      <c r="G4" s="295">
        <v>14</v>
      </c>
      <c r="H4" s="295">
        <v>14</v>
      </c>
      <c r="I4" s="295">
        <v>14</v>
      </c>
      <c r="J4" s="295">
        <v>14</v>
      </c>
      <c r="K4" s="295">
        <v>14</v>
      </c>
      <c r="L4" s="295">
        <v>14</v>
      </c>
      <c r="M4" s="295">
        <v>14</v>
      </c>
    </row>
    <row r="5" spans="1:23" ht="14.45" customHeight="1" x14ac:dyDescent="0.25">
      <c r="A5" s="155" t="s">
        <v>245</v>
      </c>
      <c r="B5" s="155"/>
      <c r="C5" s="155"/>
      <c r="D5" s="258">
        <f>6/14</f>
        <v>0.42857142857142855</v>
      </c>
      <c r="E5" s="258">
        <f>5/13</f>
        <v>0.38461538461538464</v>
      </c>
      <c r="F5" s="258">
        <f>8/13</f>
        <v>0.61538461538461542</v>
      </c>
      <c r="G5" s="258">
        <f>10/13</f>
        <v>0.76923076923076927</v>
      </c>
      <c r="H5" s="258">
        <f>5/10</f>
        <v>0.5</v>
      </c>
      <c r="I5" s="258">
        <f>5/9</f>
        <v>0.55555555555555558</v>
      </c>
      <c r="J5" s="10">
        <f>0/14</f>
        <v>0</v>
      </c>
      <c r="K5" s="258" t="e">
        <v>#N/A</v>
      </c>
      <c r="L5" s="10">
        <f>2/13</f>
        <v>0.15384615384615385</v>
      </c>
      <c r="M5" s="10">
        <f>1/13</f>
        <v>7.6923076923076927E-2</v>
      </c>
    </row>
    <row r="6" spans="1:23" ht="14.45" customHeight="1" x14ac:dyDescent="0.25">
      <c r="A6" s="155" t="s">
        <v>262</v>
      </c>
      <c r="B6" s="155"/>
      <c r="C6" s="155"/>
      <c r="D6" s="258">
        <f>14/14</f>
        <v>1</v>
      </c>
      <c r="E6" s="258">
        <f>9/13</f>
        <v>0.69230769230769229</v>
      </c>
      <c r="F6" s="258">
        <f>12/13</f>
        <v>0.92307692307692313</v>
      </c>
      <c r="G6" s="258">
        <f>11/13</f>
        <v>0.84615384615384615</v>
      </c>
      <c r="H6" s="258">
        <f>6/10</f>
        <v>0.6</v>
      </c>
      <c r="I6" s="258">
        <f>5/9</f>
        <v>0.55555555555555558</v>
      </c>
      <c r="J6" s="10">
        <f>1/14</f>
        <v>7.1428571428571425E-2</v>
      </c>
      <c r="K6" s="258" t="e">
        <v>#N/A</v>
      </c>
      <c r="L6" s="10">
        <f>2/13</f>
        <v>0.15384615384615385</v>
      </c>
      <c r="M6" s="10">
        <f>4/13</f>
        <v>0.30769230769230771</v>
      </c>
    </row>
    <row r="7" spans="1:23" ht="14.45" customHeight="1" x14ac:dyDescent="0.25">
      <c r="A7" s="155" t="s">
        <v>246</v>
      </c>
      <c r="B7" s="155"/>
      <c r="C7" s="155"/>
      <c r="D7" s="258">
        <f>4/14</f>
        <v>0.2857142857142857</v>
      </c>
      <c r="E7" s="258">
        <f>3/13</f>
        <v>0.23076923076923078</v>
      </c>
      <c r="F7" s="258">
        <f>0/13</f>
        <v>0</v>
      </c>
      <c r="G7" s="258">
        <f>8/13</f>
        <v>0.61538461538461542</v>
      </c>
      <c r="H7" s="258">
        <f>3/10</f>
        <v>0.3</v>
      </c>
      <c r="I7" s="258">
        <f>2/9</f>
        <v>0.22222222222222221</v>
      </c>
      <c r="J7" s="10">
        <f>0/14</f>
        <v>0</v>
      </c>
      <c r="K7" s="258" t="e">
        <v>#N/A</v>
      </c>
      <c r="L7" s="10">
        <f>5/13</f>
        <v>0.38461538461538464</v>
      </c>
      <c r="M7" s="10">
        <f>2/13</f>
        <v>0.15384615384615385</v>
      </c>
    </row>
    <row r="8" spans="1:23" ht="14.45" customHeight="1" x14ac:dyDescent="0.25">
      <c r="A8" s="155"/>
      <c r="B8" s="155"/>
      <c r="C8" s="155"/>
    </row>
    <row r="10" spans="1:23" ht="20.100000000000001" customHeight="1" x14ac:dyDescent="0.35">
      <c r="A10" s="259"/>
      <c r="B10" s="259"/>
      <c r="C10" s="259"/>
      <c r="D10" s="624" t="s">
        <v>311</v>
      </c>
      <c r="E10" s="624"/>
      <c r="F10" s="624"/>
      <c r="G10" s="624"/>
      <c r="H10" s="624"/>
      <c r="I10" s="624"/>
      <c r="J10" s="624"/>
      <c r="K10" s="624"/>
      <c r="L10" s="624"/>
      <c r="M10" s="624"/>
      <c r="N10" s="624"/>
      <c r="O10" s="624"/>
      <c r="P10" s="624"/>
      <c r="Q10" s="624"/>
      <c r="R10" s="624"/>
      <c r="S10" s="624"/>
      <c r="T10" s="624"/>
      <c r="U10" s="624"/>
      <c r="V10" s="624"/>
      <c r="W10" s="624"/>
    </row>
    <row r="12" spans="1:23" ht="21" x14ac:dyDescent="0.35">
      <c r="B12" s="260"/>
      <c r="C12" s="260"/>
      <c r="D12" s="625" t="s">
        <v>312</v>
      </c>
      <c r="E12" s="625"/>
      <c r="F12" s="625"/>
      <c r="G12" s="625"/>
      <c r="H12" s="625"/>
      <c r="I12" s="625"/>
      <c r="J12" s="625"/>
      <c r="K12" s="625"/>
      <c r="L12" s="625"/>
      <c r="M12" s="625"/>
      <c r="N12" s="625"/>
      <c r="O12" s="625"/>
      <c r="P12" s="625"/>
      <c r="Q12" s="625"/>
      <c r="R12" s="625"/>
      <c r="S12" s="625"/>
      <c r="T12" s="625"/>
      <c r="U12" s="625"/>
      <c r="V12" s="625"/>
      <c r="W12" s="625"/>
    </row>
    <row r="31" spans="1:23" ht="21" x14ac:dyDescent="0.35">
      <c r="A31" s="260"/>
      <c r="B31" s="260"/>
      <c r="C31" s="260"/>
    </row>
    <row r="32" spans="1:23" ht="21" x14ac:dyDescent="0.35">
      <c r="A32" s="260"/>
      <c r="B32" s="260"/>
      <c r="C32" s="260"/>
      <c r="D32" s="296"/>
      <c r="E32" s="296"/>
      <c r="F32" s="296"/>
      <c r="G32" s="296"/>
      <c r="H32" s="296"/>
      <c r="I32" s="296"/>
      <c r="J32" s="296"/>
      <c r="K32" s="296"/>
      <c r="L32" s="296"/>
      <c r="M32" s="296"/>
      <c r="N32" s="296"/>
      <c r="O32" s="296"/>
      <c r="P32" s="296"/>
      <c r="Q32" s="296"/>
      <c r="R32" s="296"/>
      <c r="S32" s="296"/>
      <c r="T32" s="296"/>
      <c r="U32" s="296"/>
      <c r="V32" s="296"/>
      <c r="W32" s="296"/>
    </row>
    <row r="33" spans="1:23" ht="21" x14ac:dyDescent="0.35">
      <c r="A33" s="260"/>
      <c r="B33" s="260"/>
      <c r="C33" s="260"/>
    </row>
    <row r="34" spans="1:23" ht="21" x14ac:dyDescent="0.35">
      <c r="A34" s="260"/>
      <c r="B34" s="260"/>
      <c r="C34" s="260"/>
      <c r="D34" s="625" t="s">
        <v>482</v>
      </c>
      <c r="E34" s="625"/>
      <c r="F34" s="625"/>
      <c r="G34" s="625"/>
      <c r="H34" s="625"/>
      <c r="I34" s="625"/>
      <c r="J34" s="625"/>
      <c r="K34" s="625"/>
      <c r="L34" s="625"/>
      <c r="M34" s="625"/>
      <c r="N34" s="625"/>
      <c r="O34" s="625"/>
      <c r="P34" s="625"/>
      <c r="Q34" s="625"/>
      <c r="R34" s="625"/>
      <c r="S34" s="625"/>
      <c r="T34" s="625"/>
      <c r="U34" s="625"/>
      <c r="V34" s="625"/>
      <c r="W34" s="625"/>
    </row>
    <row r="35" spans="1:23" ht="21" x14ac:dyDescent="0.35">
      <c r="A35" s="260"/>
      <c r="B35" s="260"/>
      <c r="C35" s="260"/>
      <c r="D35" s="296"/>
      <c r="E35" s="296"/>
      <c r="F35" s="296"/>
      <c r="G35" s="296"/>
      <c r="H35" s="296"/>
      <c r="I35" s="296"/>
      <c r="J35" s="296"/>
      <c r="K35" s="296"/>
      <c r="L35" s="296"/>
      <c r="M35" s="296"/>
      <c r="N35" s="296"/>
      <c r="O35" s="296"/>
      <c r="P35" s="296"/>
      <c r="Q35" s="296"/>
      <c r="R35" s="296"/>
      <c r="S35" s="296"/>
      <c r="T35" s="296"/>
      <c r="U35" s="296"/>
      <c r="V35" s="296"/>
      <c r="W35" s="296"/>
    </row>
  </sheetData>
  <mergeCells count="3">
    <mergeCell ref="D10:W10"/>
    <mergeCell ref="D12:W12"/>
    <mergeCell ref="D34:W34"/>
  </mergeCells>
  <phoneticPr fontId="2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W36"/>
  <sheetViews>
    <sheetView zoomScale="70" zoomScaleNormal="70" workbookViewId="0">
      <selection activeCell="AE16" sqref="AE16"/>
    </sheetView>
  </sheetViews>
  <sheetFormatPr defaultColWidth="8.7109375" defaultRowHeight="15" x14ac:dyDescent="0.25"/>
  <cols>
    <col min="1" max="1" width="70" style="160" customWidth="1"/>
    <col min="2" max="3" width="11" style="160" hidden="1" customWidth="1"/>
    <col min="4" max="9" width="11.140625" style="160" bestFit="1" customWidth="1"/>
    <col min="10" max="11" width="12.28515625" style="160" bestFit="1" customWidth="1"/>
    <col min="12" max="12" width="12.42578125" style="160" bestFit="1" customWidth="1"/>
    <col min="13" max="13" width="12.85546875" style="160" bestFit="1" customWidth="1"/>
    <col min="14" max="16384" width="8.7109375" style="160"/>
  </cols>
  <sheetData>
    <row r="1" spans="1:23" ht="14.45" customHeight="1" x14ac:dyDescent="0.25">
      <c r="A1" s="155" t="s">
        <v>139</v>
      </c>
      <c r="B1" s="155" t="s">
        <v>259</v>
      </c>
      <c r="C1" s="155" t="s">
        <v>260</v>
      </c>
      <c r="D1" s="155" t="s">
        <v>241</v>
      </c>
      <c r="E1" s="155" t="s">
        <v>200</v>
      </c>
      <c r="F1" s="155" t="s">
        <v>240</v>
      </c>
      <c r="G1" s="155" t="s">
        <v>261</v>
      </c>
      <c r="H1" s="155" t="s">
        <v>278</v>
      </c>
      <c r="I1" s="155" t="s">
        <v>318</v>
      </c>
      <c r="J1" s="154" t="s">
        <v>329</v>
      </c>
      <c r="K1" s="154" t="s">
        <v>422</v>
      </c>
      <c r="L1" s="155" t="s">
        <v>462</v>
      </c>
      <c r="M1" s="155" t="s">
        <v>498</v>
      </c>
    </row>
    <row r="2" spans="1:23" ht="14.45" customHeight="1" x14ac:dyDescent="0.25">
      <c r="A2" s="155" t="s">
        <v>244</v>
      </c>
      <c r="B2" s="155"/>
      <c r="C2" s="155"/>
      <c r="D2" s="295">
        <v>2</v>
      </c>
      <c r="E2" s="295">
        <v>5</v>
      </c>
      <c r="F2" s="295">
        <v>6</v>
      </c>
      <c r="G2" s="295">
        <v>9</v>
      </c>
      <c r="H2" s="295">
        <v>3</v>
      </c>
      <c r="I2" s="295">
        <v>11</v>
      </c>
      <c r="J2" s="295">
        <v>9</v>
      </c>
      <c r="K2" s="154">
        <v>1</v>
      </c>
      <c r="L2" s="154">
        <v>0</v>
      </c>
      <c r="M2" s="154">
        <v>2</v>
      </c>
    </row>
    <row r="3" spans="1:23" ht="14.45" customHeight="1" x14ac:dyDescent="0.25">
      <c r="A3" s="155" t="s">
        <v>361</v>
      </c>
      <c r="B3" s="155"/>
      <c r="C3" s="155"/>
      <c r="D3" s="295">
        <v>10</v>
      </c>
      <c r="E3" s="295">
        <v>8</v>
      </c>
      <c r="F3" s="295">
        <v>7</v>
      </c>
      <c r="G3" s="295">
        <v>8</v>
      </c>
      <c r="H3" s="295">
        <v>8</v>
      </c>
      <c r="I3" s="295">
        <v>6</v>
      </c>
      <c r="J3" s="295">
        <v>5</v>
      </c>
      <c r="K3" s="154">
        <v>1</v>
      </c>
      <c r="L3" s="154">
        <v>7</v>
      </c>
      <c r="M3" s="154">
        <v>6</v>
      </c>
    </row>
    <row r="4" spans="1:23" ht="14.45" customHeight="1" x14ac:dyDescent="0.25">
      <c r="A4" s="155" t="s">
        <v>243</v>
      </c>
      <c r="B4" s="155"/>
      <c r="C4" s="155"/>
      <c r="D4" s="295">
        <v>17</v>
      </c>
      <c r="E4" s="295">
        <v>17</v>
      </c>
      <c r="F4" s="295">
        <v>17</v>
      </c>
      <c r="G4" s="295">
        <v>17</v>
      </c>
      <c r="H4" s="295">
        <v>17</v>
      </c>
      <c r="I4" s="295">
        <v>17</v>
      </c>
      <c r="J4" s="295">
        <v>17</v>
      </c>
      <c r="K4" s="154">
        <v>17</v>
      </c>
      <c r="L4" s="154">
        <v>17</v>
      </c>
      <c r="M4" s="154">
        <v>16</v>
      </c>
    </row>
    <row r="5" spans="1:23" ht="14.45" customHeight="1" x14ac:dyDescent="0.25">
      <c r="A5" s="155" t="s">
        <v>245</v>
      </c>
      <c r="B5" s="155"/>
      <c r="C5" s="155"/>
      <c r="D5" s="258">
        <f>8/15</f>
        <v>0.53333333333333333</v>
      </c>
      <c r="E5" s="258">
        <f>11/15</f>
        <v>0.73333333333333328</v>
      </c>
      <c r="F5" s="258">
        <f>8/15</f>
        <v>0.53333333333333333</v>
      </c>
      <c r="G5" s="258">
        <f>12/15</f>
        <v>0.8</v>
      </c>
      <c r="H5" s="258">
        <f>3/11</f>
        <v>0.27272727272727271</v>
      </c>
      <c r="I5" s="258">
        <f>3/10</f>
        <v>0.3</v>
      </c>
      <c r="J5" s="10">
        <f>4/17</f>
        <v>0.23529411764705882</v>
      </c>
      <c r="K5" s="10">
        <f>0/1</f>
        <v>0</v>
      </c>
      <c r="L5" s="10">
        <f>3/12</f>
        <v>0.25</v>
      </c>
      <c r="M5" s="10">
        <f>2/12</f>
        <v>0.16666666666666666</v>
      </c>
    </row>
    <row r="6" spans="1:23" ht="14.45" customHeight="1" x14ac:dyDescent="0.25">
      <c r="A6" s="155" t="s">
        <v>262</v>
      </c>
      <c r="B6" s="155"/>
      <c r="C6" s="155"/>
      <c r="D6" s="258">
        <f>11/15</f>
        <v>0.73333333333333328</v>
      </c>
      <c r="E6" s="258">
        <f>11/15</f>
        <v>0.73333333333333328</v>
      </c>
      <c r="F6" s="258">
        <f>10/15</f>
        <v>0.66666666666666663</v>
      </c>
      <c r="G6" s="258">
        <f>15/15</f>
        <v>1</v>
      </c>
      <c r="H6" s="258">
        <f>7/11</f>
        <v>0.63636363636363635</v>
      </c>
      <c r="I6" s="258">
        <f>3/10</f>
        <v>0.3</v>
      </c>
      <c r="J6" s="10">
        <f>9/17</f>
        <v>0.52941176470588236</v>
      </c>
      <c r="K6" s="10">
        <f>1/1</f>
        <v>1</v>
      </c>
      <c r="L6" s="10">
        <f>6/12</f>
        <v>0.5</v>
      </c>
      <c r="M6" s="10">
        <f>3/12</f>
        <v>0.25</v>
      </c>
    </row>
    <row r="7" spans="1:23" ht="14.45" customHeight="1" x14ac:dyDescent="0.25">
      <c r="A7" s="155" t="s">
        <v>246</v>
      </c>
      <c r="B7" s="155"/>
      <c r="C7" s="155"/>
      <c r="D7" s="258">
        <f>2/15</f>
        <v>0.13333333333333333</v>
      </c>
      <c r="E7" s="258">
        <f>2/15</f>
        <v>0.13333333333333333</v>
      </c>
      <c r="F7" s="258">
        <f>4/15</f>
        <v>0.26666666666666666</v>
      </c>
      <c r="G7" s="258">
        <f>6/15</f>
        <v>0.4</v>
      </c>
      <c r="H7" s="258">
        <f>1/11</f>
        <v>9.0909090909090912E-2</v>
      </c>
      <c r="I7" s="258">
        <f>3/10</f>
        <v>0.3</v>
      </c>
      <c r="J7" s="10">
        <f>5/17</f>
        <v>0.29411764705882354</v>
      </c>
      <c r="K7" s="10">
        <f>0/1</f>
        <v>0</v>
      </c>
      <c r="L7" s="10">
        <f>4/12</f>
        <v>0.33333333333333331</v>
      </c>
      <c r="M7" s="10">
        <f>1/12</f>
        <v>8.3333333333333329E-2</v>
      </c>
    </row>
    <row r="8" spans="1:23" ht="14.45" customHeight="1" x14ac:dyDescent="0.25">
      <c r="A8" s="155"/>
      <c r="B8" s="155"/>
      <c r="C8" s="155"/>
    </row>
    <row r="10" spans="1:23" ht="20.100000000000001" customHeight="1" x14ac:dyDescent="0.35">
      <c r="A10" s="259"/>
      <c r="B10" s="259"/>
      <c r="C10" s="259"/>
      <c r="D10" s="624" t="s">
        <v>313</v>
      </c>
      <c r="E10" s="624"/>
      <c r="F10" s="624"/>
      <c r="G10" s="624"/>
      <c r="H10" s="624"/>
      <c r="I10" s="624"/>
      <c r="J10" s="624"/>
      <c r="K10" s="624"/>
      <c r="L10" s="624"/>
      <c r="M10" s="624"/>
      <c r="N10" s="624"/>
      <c r="O10" s="624"/>
      <c r="P10" s="624"/>
      <c r="Q10" s="624"/>
      <c r="R10" s="624"/>
      <c r="S10" s="624"/>
      <c r="T10" s="624"/>
      <c r="U10" s="624"/>
      <c r="V10" s="624"/>
      <c r="W10" s="624"/>
    </row>
    <row r="12" spans="1:23" ht="21" x14ac:dyDescent="0.35">
      <c r="B12" s="260"/>
      <c r="C12" s="260"/>
      <c r="D12" s="625" t="s">
        <v>314</v>
      </c>
      <c r="E12" s="625"/>
      <c r="F12" s="625"/>
      <c r="G12" s="625"/>
      <c r="H12" s="625"/>
      <c r="I12" s="625"/>
      <c r="J12" s="625"/>
      <c r="K12" s="625"/>
      <c r="L12" s="625"/>
      <c r="M12" s="625"/>
      <c r="N12" s="625"/>
      <c r="O12" s="625"/>
      <c r="P12" s="625"/>
      <c r="Q12" s="625"/>
      <c r="R12" s="625"/>
      <c r="S12" s="625"/>
      <c r="T12" s="625"/>
      <c r="U12" s="625"/>
      <c r="V12" s="625"/>
      <c r="W12" s="625"/>
    </row>
    <row r="31" spans="1:3" ht="21" x14ac:dyDescent="0.35">
      <c r="A31" s="260"/>
      <c r="B31" s="260"/>
      <c r="C31" s="260"/>
    </row>
    <row r="36" spans="4:23" ht="21" x14ac:dyDescent="0.35">
      <c r="D36" s="625" t="s">
        <v>483</v>
      </c>
      <c r="E36" s="625"/>
      <c r="F36" s="625"/>
      <c r="G36" s="625"/>
      <c r="H36" s="625"/>
      <c r="I36" s="625"/>
      <c r="J36" s="625"/>
      <c r="K36" s="625"/>
      <c r="L36" s="625"/>
      <c r="M36" s="625"/>
      <c r="N36" s="625"/>
      <c r="O36" s="625"/>
      <c r="P36" s="625"/>
      <c r="Q36" s="625"/>
      <c r="R36" s="625"/>
      <c r="S36" s="625"/>
      <c r="T36" s="625"/>
      <c r="U36" s="625"/>
      <c r="V36" s="625"/>
      <c r="W36" s="625"/>
    </row>
  </sheetData>
  <mergeCells count="3">
    <mergeCell ref="D10:W10"/>
    <mergeCell ref="D12:W12"/>
    <mergeCell ref="D36:W36"/>
  </mergeCells>
  <phoneticPr fontId="1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W35"/>
  <sheetViews>
    <sheetView topLeftCell="A7" zoomScale="70" zoomScaleNormal="70" workbookViewId="0">
      <selection activeCell="AD35" sqref="AD35"/>
    </sheetView>
  </sheetViews>
  <sheetFormatPr defaultColWidth="8.7109375" defaultRowHeight="15" x14ac:dyDescent="0.25"/>
  <cols>
    <col min="1" max="1" width="70" style="160" customWidth="1"/>
    <col min="2" max="3" width="11" style="160" hidden="1" customWidth="1"/>
    <col min="4" max="4" width="12.28515625" style="160" bestFit="1" customWidth="1"/>
    <col min="5" max="7" width="12.85546875" style="160" bestFit="1" customWidth="1"/>
    <col min="8" max="8" width="12.28515625" style="160" bestFit="1" customWidth="1"/>
    <col min="9" max="10" width="12.85546875" style="160" bestFit="1" customWidth="1"/>
    <col min="11" max="11" width="12.28515625" style="160" bestFit="1" customWidth="1"/>
    <col min="12" max="13" width="12.85546875" style="160" bestFit="1" customWidth="1"/>
    <col min="14" max="16384" width="8.7109375" style="160"/>
  </cols>
  <sheetData>
    <row r="1" spans="1:23" ht="14.45" customHeight="1" x14ac:dyDescent="0.25">
      <c r="A1" s="155" t="s">
        <v>139</v>
      </c>
      <c r="B1" s="155" t="s">
        <v>259</v>
      </c>
      <c r="C1" s="155" t="s">
        <v>260</v>
      </c>
      <c r="D1" s="155" t="s">
        <v>241</v>
      </c>
      <c r="E1" s="155" t="s">
        <v>200</v>
      </c>
      <c r="F1" s="155" t="s">
        <v>240</v>
      </c>
      <c r="G1" s="155" t="s">
        <v>261</v>
      </c>
      <c r="H1" s="155" t="s">
        <v>278</v>
      </c>
      <c r="I1" s="155" t="s">
        <v>318</v>
      </c>
      <c r="J1" s="154" t="s">
        <v>329</v>
      </c>
      <c r="K1" s="154" t="s">
        <v>422</v>
      </c>
      <c r="L1" s="155" t="s">
        <v>462</v>
      </c>
      <c r="M1" s="155" t="s">
        <v>498</v>
      </c>
    </row>
    <row r="2" spans="1:23" ht="14.45" customHeight="1" x14ac:dyDescent="0.25">
      <c r="A2" s="155" t="s">
        <v>244</v>
      </c>
      <c r="B2" s="155"/>
      <c r="C2" s="155"/>
      <c r="D2" s="295">
        <v>1</v>
      </c>
      <c r="E2" s="295">
        <v>1</v>
      </c>
      <c r="F2" s="295">
        <v>0</v>
      </c>
      <c r="G2" s="295">
        <v>0</v>
      </c>
      <c r="H2" s="295">
        <v>1</v>
      </c>
      <c r="I2" s="295">
        <v>1</v>
      </c>
      <c r="J2" s="295">
        <v>1</v>
      </c>
      <c r="K2" s="295">
        <v>0</v>
      </c>
      <c r="L2" s="295">
        <v>0</v>
      </c>
      <c r="M2" s="295">
        <v>0</v>
      </c>
    </row>
    <row r="3" spans="1:23" ht="14.45" customHeight="1" x14ac:dyDescent="0.25">
      <c r="A3" s="155" t="s">
        <v>361</v>
      </c>
      <c r="B3" s="155"/>
      <c r="C3" s="155"/>
      <c r="D3" s="295">
        <v>4</v>
      </c>
      <c r="E3" s="295">
        <v>3</v>
      </c>
      <c r="F3" s="295">
        <v>3</v>
      </c>
      <c r="G3" s="295">
        <v>2</v>
      </c>
      <c r="H3" s="295">
        <v>3</v>
      </c>
      <c r="I3" s="295">
        <v>2</v>
      </c>
      <c r="J3" s="295">
        <v>1</v>
      </c>
      <c r="K3" s="295">
        <v>0</v>
      </c>
      <c r="L3" s="295">
        <v>1</v>
      </c>
      <c r="M3" s="295">
        <v>1</v>
      </c>
    </row>
    <row r="4" spans="1:23" ht="14.45" customHeight="1" x14ac:dyDescent="0.25">
      <c r="A4" s="155" t="s">
        <v>243</v>
      </c>
      <c r="B4" s="155"/>
      <c r="C4" s="155"/>
      <c r="D4" s="295">
        <v>7</v>
      </c>
      <c r="E4" s="295">
        <v>7</v>
      </c>
      <c r="F4" s="295">
        <v>7</v>
      </c>
      <c r="G4" s="295">
        <v>7</v>
      </c>
      <c r="H4" s="295">
        <v>7</v>
      </c>
      <c r="I4" s="295">
        <v>7</v>
      </c>
      <c r="J4" s="295">
        <v>7</v>
      </c>
      <c r="K4" s="295">
        <v>7</v>
      </c>
      <c r="L4" s="295">
        <v>7</v>
      </c>
      <c r="M4" s="295">
        <v>7</v>
      </c>
    </row>
    <row r="5" spans="1:23" ht="14.45" customHeight="1" x14ac:dyDescent="0.25">
      <c r="A5" s="155" t="s">
        <v>245</v>
      </c>
      <c r="B5" s="155"/>
      <c r="C5" s="155"/>
      <c r="D5" s="258">
        <f>6/7</f>
        <v>0.8571428571428571</v>
      </c>
      <c r="E5" s="258">
        <f>6/7</f>
        <v>0.8571428571428571</v>
      </c>
      <c r="F5" s="258">
        <f>6/7</f>
        <v>0.8571428571428571</v>
      </c>
      <c r="G5" s="258">
        <f>6/7</f>
        <v>0.8571428571428571</v>
      </c>
      <c r="H5" s="258">
        <f>3/6</f>
        <v>0.5</v>
      </c>
      <c r="I5" s="258">
        <f>3/4</f>
        <v>0.75</v>
      </c>
      <c r="J5" s="10">
        <f>0/7</f>
        <v>0</v>
      </c>
      <c r="K5" s="160" t="e">
        <v>#N/A</v>
      </c>
      <c r="L5" s="10">
        <f>3/7</f>
        <v>0.42857142857142855</v>
      </c>
      <c r="M5" s="10">
        <f>1/7</f>
        <v>0.14285714285714285</v>
      </c>
    </row>
    <row r="6" spans="1:23" ht="14.45" customHeight="1" x14ac:dyDescent="0.25">
      <c r="A6" s="155" t="s">
        <v>262</v>
      </c>
      <c r="B6" s="155"/>
      <c r="C6" s="155"/>
      <c r="D6" s="258">
        <f>6/7</f>
        <v>0.8571428571428571</v>
      </c>
      <c r="E6" s="258">
        <f>6/7</f>
        <v>0.8571428571428571</v>
      </c>
      <c r="F6" s="258">
        <f>7/7</f>
        <v>1</v>
      </c>
      <c r="G6" s="258">
        <f>7/7</f>
        <v>1</v>
      </c>
      <c r="H6" s="258">
        <f>6/6</f>
        <v>1</v>
      </c>
      <c r="I6" s="258">
        <f>3/4</f>
        <v>0.75</v>
      </c>
      <c r="J6" s="10">
        <f>3/7</f>
        <v>0.42857142857142855</v>
      </c>
      <c r="K6" s="160" t="e">
        <v>#N/A</v>
      </c>
      <c r="L6" s="10">
        <f>2/7</f>
        <v>0.2857142857142857</v>
      </c>
      <c r="M6" s="10">
        <f>3/7</f>
        <v>0.42857142857142855</v>
      </c>
    </row>
    <row r="7" spans="1:23" ht="14.45" customHeight="1" x14ac:dyDescent="0.25">
      <c r="A7" s="155" t="s">
        <v>246</v>
      </c>
      <c r="B7" s="155"/>
      <c r="C7" s="155"/>
      <c r="D7" s="258">
        <f>2/7</f>
        <v>0.2857142857142857</v>
      </c>
      <c r="E7" s="258">
        <f>2/7</f>
        <v>0.2857142857142857</v>
      </c>
      <c r="F7" s="258">
        <f>3/7</f>
        <v>0.42857142857142855</v>
      </c>
      <c r="G7" s="258">
        <f>2/7</f>
        <v>0.2857142857142857</v>
      </c>
      <c r="H7" s="258">
        <f>0/6</f>
        <v>0</v>
      </c>
      <c r="I7" s="258">
        <f>2/4</f>
        <v>0.5</v>
      </c>
      <c r="J7" s="10">
        <f>0/7%</f>
        <v>0</v>
      </c>
      <c r="K7" s="160" t="e">
        <v>#N/A</v>
      </c>
      <c r="L7" s="10">
        <f>4/7</f>
        <v>0.5714285714285714</v>
      </c>
      <c r="M7" s="10">
        <f>2/7</f>
        <v>0.2857142857142857</v>
      </c>
    </row>
    <row r="8" spans="1:23" ht="14.45" customHeight="1" x14ac:dyDescent="0.25">
      <c r="A8" s="155"/>
      <c r="B8" s="155"/>
      <c r="C8" s="155"/>
    </row>
    <row r="10" spans="1:23" ht="20.100000000000001" customHeight="1" x14ac:dyDescent="0.35">
      <c r="A10" s="259"/>
      <c r="B10" s="259"/>
      <c r="C10" s="259"/>
      <c r="D10" s="624" t="s">
        <v>315</v>
      </c>
      <c r="E10" s="624"/>
      <c r="F10" s="624"/>
      <c r="G10" s="624"/>
      <c r="H10" s="624"/>
      <c r="I10" s="624"/>
      <c r="J10" s="624"/>
      <c r="K10" s="624"/>
      <c r="L10" s="624"/>
      <c r="M10" s="624"/>
      <c r="N10" s="624"/>
      <c r="O10" s="624"/>
      <c r="P10" s="624"/>
      <c r="Q10" s="624"/>
      <c r="R10" s="624"/>
      <c r="S10" s="624"/>
      <c r="T10" s="624"/>
      <c r="U10" s="624"/>
      <c r="V10" s="624"/>
      <c r="W10" s="624"/>
    </row>
    <row r="12" spans="1:23" ht="21" x14ac:dyDescent="0.35">
      <c r="B12" s="260"/>
      <c r="C12" s="260"/>
      <c r="D12" s="625" t="s">
        <v>316</v>
      </c>
      <c r="E12" s="625"/>
      <c r="F12" s="625"/>
      <c r="G12" s="625"/>
      <c r="H12" s="625"/>
      <c r="I12" s="625"/>
      <c r="J12" s="625"/>
      <c r="K12" s="625"/>
      <c r="L12" s="625"/>
      <c r="M12" s="625"/>
      <c r="N12" s="625"/>
      <c r="O12" s="625"/>
      <c r="P12" s="625"/>
      <c r="Q12" s="625"/>
      <c r="R12" s="625"/>
      <c r="S12" s="625"/>
      <c r="T12" s="625"/>
      <c r="U12" s="625"/>
      <c r="V12" s="625"/>
      <c r="W12" s="625"/>
    </row>
    <row r="31" spans="1:3" ht="21" x14ac:dyDescent="0.35">
      <c r="A31" s="260"/>
      <c r="B31" s="260"/>
      <c r="C31" s="260"/>
    </row>
    <row r="35" spans="4:23" ht="21" x14ac:dyDescent="0.35">
      <c r="D35" s="625" t="s">
        <v>484</v>
      </c>
      <c r="E35" s="625"/>
      <c r="F35" s="625"/>
      <c r="G35" s="625"/>
      <c r="H35" s="625"/>
      <c r="I35" s="625"/>
      <c r="J35" s="625"/>
      <c r="K35" s="625"/>
      <c r="L35" s="625"/>
      <c r="M35" s="625"/>
      <c r="N35" s="625"/>
      <c r="O35" s="625"/>
      <c r="P35" s="625"/>
      <c r="Q35" s="625"/>
      <c r="R35" s="625"/>
      <c r="S35" s="625"/>
      <c r="T35" s="625"/>
      <c r="U35" s="625"/>
      <c r="V35" s="625"/>
      <c r="W35" s="625"/>
    </row>
  </sheetData>
  <mergeCells count="3">
    <mergeCell ref="D10:W10"/>
    <mergeCell ref="D12:W12"/>
    <mergeCell ref="D35:W35"/>
  </mergeCells>
  <phoneticPr fontId="13"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X35"/>
  <sheetViews>
    <sheetView zoomScale="70" zoomScaleNormal="70" workbookViewId="0">
      <selection activeCell="AD26" sqref="AD26"/>
    </sheetView>
  </sheetViews>
  <sheetFormatPr defaultColWidth="8.7109375" defaultRowHeight="15" x14ac:dyDescent="0.25"/>
  <cols>
    <col min="1" max="1" width="70" style="160" customWidth="1"/>
    <col min="2" max="3" width="11" style="160" hidden="1" customWidth="1"/>
    <col min="4" max="10" width="11.140625" style="160" bestFit="1" customWidth="1"/>
    <col min="11" max="11" width="10.7109375" style="160" bestFit="1" customWidth="1"/>
    <col min="12" max="13" width="12.42578125" style="160" bestFit="1" customWidth="1"/>
    <col min="14" max="16384" width="8.7109375" style="160"/>
  </cols>
  <sheetData>
    <row r="1" spans="1:23" ht="14.45" customHeight="1" x14ac:dyDescent="0.25">
      <c r="A1" s="155" t="s">
        <v>139</v>
      </c>
      <c r="B1" s="155" t="s">
        <v>259</v>
      </c>
      <c r="C1" s="155" t="s">
        <v>260</v>
      </c>
      <c r="D1" s="155" t="s">
        <v>241</v>
      </c>
      <c r="E1" s="155" t="s">
        <v>200</v>
      </c>
      <c r="F1" s="155" t="s">
        <v>240</v>
      </c>
      <c r="G1" s="155" t="s">
        <v>261</v>
      </c>
      <c r="H1" s="155" t="s">
        <v>278</v>
      </c>
      <c r="I1" s="155" t="s">
        <v>318</v>
      </c>
      <c r="J1" s="154" t="s">
        <v>329</v>
      </c>
      <c r="K1" s="154" t="s">
        <v>423</v>
      </c>
      <c r="L1" s="155" t="s">
        <v>462</v>
      </c>
      <c r="M1" s="155" t="s">
        <v>498</v>
      </c>
    </row>
    <row r="2" spans="1:23" ht="14.45" customHeight="1" x14ac:dyDescent="0.25">
      <c r="A2" s="155" t="s">
        <v>244</v>
      </c>
      <c r="B2" s="155"/>
      <c r="C2" s="155"/>
      <c r="D2" s="295">
        <v>1</v>
      </c>
      <c r="E2" s="295">
        <v>3</v>
      </c>
      <c r="F2" s="295">
        <v>4</v>
      </c>
      <c r="G2" s="295">
        <v>5</v>
      </c>
      <c r="H2" s="295">
        <v>5</v>
      </c>
      <c r="I2" s="295">
        <v>3</v>
      </c>
      <c r="J2" s="295">
        <v>2</v>
      </c>
      <c r="K2" s="295">
        <v>2</v>
      </c>
      <c r="L2" s="295">
        <v>0</v>
      </c>
      <c r="M2" s="295">
        <v>0</v>
      </c>
    </row>
    <row r="3" spans="1:23" ht="14.45" customHeight="1" x14ac:dyDescent="0.25">
      <c r="A3" s="155" t="s">
        <v>242</v>
      </c>
      <c r="B3" s="155"/>
      <c r="C3" s="155"/>
      <c r="D3" s="295">
        <v>3</v>
      </c>
      <c r="E3" s="295">
        <v>3</v>
      </c>
      <c r="F3" s="295">
        <v>3</v>
      </c>
      <c r="G3" s="295">
        <v>3</v>
      </c>
      <c r="H3" s="295">
        <v>3</v>
      </c>
      <c r="I3" s="295">
        <v>0</v>
      </c>
      <c r="J3" s="295">
        <v>0</v>
      </c>
      <c r="K3" s="295">
        <v>0</v>
      </c>
      <c r="L3" s="295">
        <v>0</v>
      </c>
      <c r="M3" s="295">
        <v>0</v>
      </c>
    </row>
    <row r="4" spans="1:23" ht="14.45" customHeight="1" x14ac:dyDescent="0.25">
      <c r="A4" s="155" t="s">
        <v>243</v>
      </c>
      <c r="B4" s="155"/>
      <c r="C4" s="155"/>
      <c r="D4" s="295">
        <v>5</v>
      </c>
      <c r="E4" s="295">
        <v>5</v>
      </c>
      <c r="F4" s="295">
        <v>5</v>
      </c>
      <c r="G4" s="295">
        <v>5</v>
      </c>
      <c r="H4" s="295">
        <v>5</v>
      </c>
      <c r="I4" s="295">
        <v>5</v>
      </c>
      <c r="J4" s="295">
        <v>5</v>
      </c>
      <c r="K4" s="295">
        <v>5</v>
      </c>
      <c r="L4" s="295">
        <v>5</v>
      </c>
      <c r="M4" s="295">
        <v>5</v>
      </c>
    </row>
    <row r="5" spans="1:23" ht="14.45" customHeight="1" x14ac:dyDescent="0.25">
      <c r="A5" s="155" t="s">
        <v>245</v>
      </c>
      <c r="B5" s="155"/>
      <c r="C5" s="155"/>
      <c r="D5" s="258">
        <f>3/5</f>
        <v>0.6</v>
      </c>
      <c r="E5" s="258">
        <f>3/5</f>
        <v>0.6</v>
      </c>
      <c r="F5" s="258">
        <f>2/5</f>
        <v>0.4</v>
      </c>
      <c r="G5" s="258">
        <f>3/5</f>
        <v>0.6</v>
      </c>
      <c r="H5" s="258">
        <f>1/5</f>
        <v>0.2</v>
      </c>
      <c r="I5" s="258">
        <f>1/5</f>
        <v>0.2</v>
      </c>
      <c r="J5" s="10">
        <f>1/5</f>
        <v>0.2</v>
      </c>
      <c r="K5" s="10">
        <f>0/4</f>
        <v>0</v>
      </c>
      <c r="L5" s="10">
        <f>0/5</f>
        <v>0</v>
      </c>
      <c r="M5" s="10">
        <f>0/5</f>
        <v>0</v>
      </c>
    </row>
    <row r="6" spans="1:23" ht="14.45" customHeight="1" x14ac:dyDescent="0.25">
      <c r="A6" s="155" t="s">
        <v>262</v>
      </c>
      <c r="B6" s="155"/>
      <c r="C6" s="155"/>
      <c r="D6" s="258">
        <f>4/5</f>
        <v>0.8</v>
      </c>
      <c r="E6" s="258">
        <f>4/5</f>
        <v>0.8</v>
      </c>
      <c r="F6" s="258">
        <f>4/5</f>
        <v>0.8</v>
      </c>
      <c r="G6" s="258">
        <f>4/5</f>
        <v>0.8</v>
      </c>
      <c r="H6" s="258">
        <f>3/5</f>
        <v>0.6</v>
      </c>
      <c r="I6" s="258">
        <f>3/5</f>
        <v>0.6</v>
      </c>
      <c r="J6" s="10">
        <f>1/5</f>
        <v>0.2</v>
      </c>
      <c r="K6" s="10">
        <f>0/4</f>
        <v>0</v>
      </c>
      <c r="L6" s="10">
        <f>2/5</f>
        <v>0.4</v>
      </c>
      <c r="M6" s="10">
        <f>1/5</f>
        <v>0.2</v>
      </c>
    </row>
    <row r="7" spans="1:23" ht="14.45" customHeight="1" x14ac:dyDescent="0.25">
      <c r="A7" s="155" t="s">
        <v>246</v>
      </c>
      <c r="B7" s="155"/>
      <c r="C7" s="155"/>
      <c r="D7" s="258">
        <f>2/5</f>
        <v>0.4</v>
      </c>
      <c r="E7" s="258">
        <f>2/5</f>
        <v>0.4</v>
      </c>
      <c r="F7" s="258">
        <f>2/5</f>
        <v>0.4</v>
      </c>
      <c r="G7" s="258">
        <f>2/5</f>
        <v>0.4</v>
      </c>
      <c r="H7" s="258">
        <f>0/5</f>
        <v>0</v>
      </c>
      <c r="I7" s="258">
        <f>1/5</f>
        <v>0.2</v>
      </c>
      <c r="J7" s="10">
        <f>0/5</f>
        <v>0</v>
      </c>
      <c r="K7" s="10">
        <f>0/4</f>
        <v>0</v>
      </c>
      <c r="L7" s="10">
        <f>0/5%</f>
        <v>0</v>
      </c>
      <c r="M7" s="10">
        <f>0/5%</f>
        <v>0</v>
      </c>
    </row>
    <row r="8" spans="1:23" ht="14.45" customHeight="1" x14ac:dyDescent="0.25">
      <c r="A8" s="155"/>
      <c r="B8" s="155"/>
      <c r="C8" s="155"/>
    </row>
    <row r="10" spans="1:23" ht="20.100000000000001" customHeight="1" x14ac:dyDescent="0.35">
      <c r="A10" s="259"/>
      <c r="B10" s="259"/>
      <c r="C10" s="259"/>
      <c r="D10" s="624" t="s">
        <v>317</v>
      </c>
      <c r="E10" s="624"/>
      <c r="F10" s="624"/>
      <c r="G10" s="624"/>
      <c r="H10" s="624"/>
      <c r="I10" s="624"/>
      <c r="J10" s="624"/>
      <c r="K10" s="624"/>
      <c r="L10" s="624"/>
      <c r="M10" s="624"/>
      <c r="N10" s="624"/>
      <c r="O10" s="624"/>
      <c r="P10" s="624"/>
      <c r="Q10" s="624"/>
      <c r="R10" s="624"/>
      <c r="S10" s="624"/>
      <c r="T10" s="624"/>
      <c r="U10" s="624"/>
      <c r="V10" s="624"/>
      <c r="W10" s="624"/>
    </row>
    <row r="12" spans="1:23" ht="21" x14ac:dyDescent="0.35">
      <c r="B12" s="260"/>
      <c r="C12" s="260"/>
      <c r="D12" s="625" t="s">
        <v>326</v>
      </c>
      <c r="E12" s="625"/>
      <c r="F12" s="625"/>
      <c r="G12" s="625"/>
      <c r="H12" s="625"/>
      <c r="I12" s="625"/>
      <c r="J12" s="625"/>
      <c r="K12" s="625"/>
      <c r="L12" s="625"/>
      <c r="M12" s="625"/>
      <c r="N12" s="625"/>
      <c r="O12" s="625"/>
      <c r="P12" s="625"/>
      <c r="Q12" s="625"/>
      <c r="R12" s="625"/>
      <c r="S12" s="625"/>
      <c r="T12" s="625"/>
      <c r="U12" s="625"/>
      <c r="V12" s="625"/>
      <c r="W12" s="625"/>
    </row>
    <row r="31" spans="1:3" ht="21" x14ac:dyDescent="0.35">
      <c r="A31" s="260"/>
      <c r="B31" s="260"/>
      <c r="C31" s="260"/>
    </row>
    <row r="35" spans="5:24" ht="21" x14ac:dyDescent="0.35">
      <c r="E35" s="625" t="s">
        <v>485</v>
      </c>
      <c r="F35" s="625"/>
      <c r="G35" s="625"/>
      <c r="H35" s="625"/>
      <c r="I35" s="625"/>
      <c r="J35" s="625"/>
      <c r="K35" s="625"/>
      <c r="L35" s="625"/>
      <c r="M35" s="625"/>
      <c r="N35" s="625"/>
      <c r="O35" s="625"/>
      <c r="P35" s="625"/>
      <c r="Q35" s="625"/>
      <c r="R35" s="625"/>
      <c r="S35" s="625"/>
      <c r="T35" s="625"/>
      <c r="U35" s="625"/>
      <c r="V35" s="625"/>
      <c r="W35" s="625"/>
      <c r="X35" s="625"/>
    </row>
  </sheetData>
  <mergeCells count="3">
    <mergeCell ref="D10:W10"/>
    <mergeCell ref="D12:W12"/>
    <mergeCell ref="E35:X35"/>
  </mergeCells>
  <phoneticPr fontId="13"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U31"/>
  <sheetViews>
    <sheetView zoomScale="80" zoomScaleNormal="80" workbookViewId="0">
      <selection activeCell="O5" sqref="O5"/>
    </sheetView>
  </sheetViews>
  <sheetFormatPr defaultColWidth="8.7109375" defaultRowHeight="15" x14ac:dyDescent="0.25"/>
  <cols>
    <col min="1" max="1" width="70" style="160" customWidth="1"/>
    <col min="2" max="3" width="11" style="160" hidden="1" customWidth="1"/>
    <col min="4" max="6" width="11" style="160" bestFit="1" customWidth="1"/>
    <col min="7" max="7" width="11" style="160" customWidth="1"/>
    <col min="8" max="10" width="8.7109375" style="160"/>
    <col min="11" max="11" width="30.5703125" style="160" customWidth="1"/>
    <col min="12" max="16384" width="8.7109375" style="160"/>
  </cols>
  <sheetData>
    <row r="1" spans="1:21" ht="14.45" customHeight="1" x14ac:dyDescent="0.25">
      <c r="A1" s="154" t="s">
        <v>139</v>
      </c>
      <c r="B1" s="154" t="s">
        <v>259</v>
      </c>
      <c r="C1" s="154" t="s">
        <v>260</v>
      </c>
      <c r="D1" s="154" t="s">
        <v>241</v>
      </c>
      <c r="E1" s="154" t="s">
        <v>200</v>
      </c>
      <c r="F1" s="154" t="s">
        <v>240</v>
      </c>
      <c r="G1" s="154" t="s">
        <v>261</v>
      </c>
      <c r="H1" s="154" t="s">
        <v>278</v>
      </c>
      <c r="K1" s="154"/>
      <c r="L1" s="154"/>
      <c r="M1" s="154"/>
      <c r="N1" s="154"/>
      <c r="O1" s="154"/>
      <c r="P1" s="154"/>
    </row>
    <row r="2" spans="1:21" ht="14.45" customHeight="1" x14ac:dyDescent="0.25">
      <c r="A2" s="154" t="s">
        <v>244</v>
      </c>
      <c r="B2" s="154"/>
      <c r="C2" s="154"/>
      <c r="D2" s="154">
        <v>0</v>
      </c>
      <c r="E2" s="154">
        <v>0</v>
      </c>
      <c r="F2" s="154">
        <v>1</v>
      </c>
      <c r="G2" s="154">
        <v>1</v>
      </c>
      <c r="H2" s="154">
        <v>1</v>
      </c>
      <c r="K2" s="154"/>
      <c r="L2" s="154"/>
      <c r="M2" s="154"/>
      <c r="N2" s="154"/>
      <c r="O2" s="154"/>
      <c r="P2" s="154"/>
    </row>
    <row r="3" spans="1:21" ht="14.45" customHeight="1" x14ac:dyDescent="0.25">
      <c r="A3" s="154" t="s">
        <v>242</v>
      </c>
      <c r="B3" s="154"/>
      <c r="C3" s="154"/>
      <c r="D3" s="154">
        <v>2</v>
      </c>
      <c r="E3" s="154">
        <v>1</v>
      </c>
      <c r="F3" s="154">
        <v>0</v>
      </c>
      <c r="G3" s="154">
        <v>1</v>
      </c>
      <c r="H3" s="154">
        <v>1</v>
      </c>
      <c r="K3" s="154"/>
      <c r="L3" s="154"/>
      <c r="M3" s="154"/>
      <c r="N3" s="154"/>
      <c r="O3" s="154"/>
      <c r="P3" s="154"/>
    </row>
    <row r="4" spans="1:21" ht="14.45" customHeight="1" x14ac:dyDescent="0.25">
      <c r="A4" s="154" t="s">
        <v>243</v>
      </c>
      <c r="B4" s="154"/>
      <c r="C4" s="154"/>
      <c r="D4" s="154">
        <v>5</v>
      </c>
      <c r="E4" s="154">
        <v>5</v>
      </c>
      <c r="F4" s="154">
        <v>5</v>
      </c>
      <c r="G4" s="154">
        <v>5</v>
      </c>
      <c r="H4" s="154">
        <v>5</v>
      </c>
      <c r="K4" s="154"/>
      <c r="L4" s="154"/>
      <c r="M4" s="154"/>
      <c r="N4" s="154"/>
      <c r="O4" s="154"/>
      <c r="P4" s="154"/>
    </row>
    <row r="5" spans="1:21" ht="14.45" customHeight="1" x14ac:dyDescent="0.25">
      <c r="A5" s="154" t="s">
        <v>245</v>
      </c>
      <c r="B5" s="154"/>
      <c r="C5" s="154"/>
      <c r="D5" s="154">
        <v>3</v>
      </c>
      <c r="E5" s="154">
        <v>3</v>
      </c>
      <c r="F5" s="154">
        <v>2</v>
      </c>
      <c r="G5" s="154">
        <v>5</v>
      </c>
      <c r="H5" s="154">
        <v>2</v>
      </c>
      <c r="K5" s="154"/>
      <c r="L5" s="193"/>
      <c r="M5" s="193"/>
      <c r="N5" s="193"/>
      <c r="O5" s="193"/>
      <c r="P5" s="193"/>
    </row>
    <row r="6" spans="1:21" ht="14.45" customHeight="1" x14ac:dyDescent="0.25">
      <c r="A6" s="154" t="s">
        <v>262</v>
      </c>
      <c r="B6" s="154"/>
      <c r="C6" s="154"/>
      <c r="D6" s="154">
        <v>4</v>
      </c>
      <c r="E6" s="154">
        <v>4</v>
      </c>
      <c r="F6" s="154">
        <v>4</v>
      </c>
      <c r="G6" s="154">
        <v>5</v>
      </c>
      <c r="H6" s="154">
        <v>4</v>
      </c>
      <c r="K6" s="154"/>
      <c r="L6" s="193"/>
      <c r="M6" s="193"/>
      <c r="N6" s="193"/>
      <c r="O6" s="193"/>
      <c r="P6" s="193"/>
    </row>
    <row r="7" spans="1:21" ht="14.45" customHeight="1" x14ac:dyDescent="0.25">
      <c r="A7" s="154" t="s">
        <v>246</v>
      </c>
      <c r="B7" s="154"/>
      <c r="C7" s="154"/>
      <c r="D7" s="154">
        <v>0</v>
      </c>
      <c r="E7" s="154">
        <v>0</v>
      </c>
      <c r="F7" s="154">
        <v>0</v>
      </c>
      <c r="G7" s="154">
        <v>1</v>
      </c>
      <c r="H7" s="154">
        <v>1</v>
      </c>
      <c r="K7" s="154"/>
      <c r="L7" s="193"/>
      <c r="M7" s="193"/>
      <c r="N7" s="193"/>
      <c r="O7" s="193"/>
      <c r="P7" s="193"/>
    </row>
    <row r="8" spans="1:21" ht="14.45" customHeight="1" x14ac:dyDescent="0.25">
      <c r="A8" s="155"/>
      <c r="B8" s="155"/>
      <c r="C8" s="155"/>
      <c r="D8" s="155"/>
      <c r="E8" s="155"/>
      <c r="F8" s="155"/>
    </row>
    <row r="10" spans="1:21" ht="20.100000000000001" customHeight="1" x14ac:dyDescent="0.35">
      <c r="A10" s="156"/>
      <c r="B10" s="157"/>
      <c r="C10" s="157"/>
      <c r="D10" s="624" t="s">
        <v>300</v>
      </c>
      <c r="E10" s="624"/>
      <c r="F10" s="624"/>
      <c r="G10" s="624"/>
      <c r="H10" s="624"/>
      <c r="I10" s="624"/>
      <c r="J10" s="624"/>
      <c r="K10" s="624"/>
      <c r="L10" s="624"/>
      <c r="M10" s="624"/>
      <c r="N10" s="624"/>
      <c r="O10" s="624"/>
      <c r="P10" s="157"/>
      <c r="Q10" s="157"/>
      <c r="R10" s="157"/>
      <c r="S10" s="157"/>
      <c r="T10" s="157"/>
      <c r="U10" s="157"/>
    </row>
    <row r="12" spans="1:21" ht="21" x14ac:dyDescent="0.35">
      <c r="E12" s="625" t="s">
        <v>301</v>
      </c>
      <c r="F12" s="625"/>
      <c r="G12" s="625"/>
      <c r="H12" s="625"/>
      <c r="I12" s="625"/>
      <c r="J12" s="625"/>
      <c r="K12" s="625"/>
      <c r="L12" s="625"/>
      <c r="M12" s="625"/>
      <c r="N12" s="625"/>
    </row>
    <row r="31" spans="5:14" ht="21" x14ac:dyDescent="0.35">
      <c r="E31" s="625" t="s">
        <v>302</v>
      </c>
      <c r="F31" s="625"/>
      <c r="G31" s="625"/>
      <c r="H31" s="625"/>
      <c r="I31" s="625"/>
      <c r="J31" s="625"/>
      <c r="K31" s="625"/>
      <c r="L31" s="625"/>
      <c r="M31" s="625"/>
      <c r="N31" s="625"/>
    </row>
  </sheetData>
  <mergeCells count="3">
    <mergeCell ref="D10:O10"/>
    <mergeCell ref="E12:N12"/>
    <mergeCell ref="E31:N3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CQ73"/>
  <sheetViews>
    <sheetView tabSelected="1" zoomScale="90" zoomScaleNormal="90" workbookViewId="0">
      <pane xSplit="2" topLeftCell="C1" activePane="topRight" state="frozen"/>
      <selection activeCell="A37" sqref="A37"/>
      <selection pane="topRight" activeCell="B35" sqref="B35"/>
    </sheetView>
  </sheetViews>
  <sheetFormatPr defaultColWidth="8.7109375" defaultRowHeight="15" x14ac:dyDescent="0.25"/>
  <cols>
    <col min="1" max="1" width="8.7109375" style="160"/>
    <col min="2" max="2" width="44.42578125" style="160" customWidth="1"/>
    <col min="3" max="3" width="15" style="265" customWidth="1"/>
    <col min="4" max="4" width="15" style="15" customWidth="1"/>
    <col min="5" max="5" width="15" style="15" hidden="1" customWidth="1"/>
    <col min="6" max="6" width="15" style="14" hidden="1" customWidth="1"/>
    <col min="7" max="7" width="15" style="265" customWidth="1"/>
    <col min="8" max="8" width="15" style="265" hidden="1" customWidth="1"/>
    <col min="9" max="9" width="15" style="14" hidden="1" customWidth="1"/>
    <col min="10" max="10" width="18.140625" style="265" customWidth="1"/>
    <col min="11" max="11" width="15" style="265" hidden="1" customWidth="1"/>
    <col min="12" max="12" width="15" style="14" hidden="1" customWidth="1"/>
    <col min="13" max="13" width="13.140625" style="45" customWidth="1"/>
    <col min="14" max="14" width="13.140625" style="45" hidden="1" customWidth="1"/>
    <col min="15" max="15" width="14" style="45" customWidth="1"/>
    <col min="16" max="16" width="14.140625" style="45" hidden="1" customWidth="1"/>
    <col min="17" max="17" width="13.140625" style="45" customWidth="1"/>
    <col min="18" max="18" width="13.140625" style="45" hidden="1" customWidth="1"/>
    <col min="19" max="19" width="13.140625" style="66" hidden="1" customWidth="1"/>
    <col min="20" max="20" width="10.42578125" style="45" customWidth="1"/>
    <col min="21" max="21" width="13.140625" style="45" hidden="1" customWidth="1"/>
    <col min="22" max="22" width="13.140625" style="45" customWidth="1"/>
    <col min="23" max="23" width="13.140625" style="45" hidden="1" customWidth="1"/>
    <col min="24" max="24" width="13.140625" style="66" hidden="1" customWidth="1"/>
    <col min="25" max="25" width="13.140625" style="66" customWidth="1"/>
    <col min="26" max="26" width="11.85546875" style="66" customWidth="1"/>
    <col min="27" max="27" width="11.85546875" style="66" hidden="1" customWidth="1"/>
    <col min="28" max="28" width="13.140625" style="7" customWidth="1"/>
    <col min="29" max="29" width="13.140625" style="7" hidden="1" customWidth="1"/>
    <col min="30" max="30" width="13.140625" style="45" customWidth="1"/>
    <col min="31" max="31" width="18.140625" style="45" customWidth="1"/>
    <col min="32" max="32" width="13.140625" style="45" hidden="1" customWidth="1"/>
    <col min="33" max="33" width="13.140625" style="45" customWidth="1"/>
    <col min="34" max="34" width="13.140625" style="45" hidden="1" customWidth="1"/>
    <col min="35" max="35" width="13.140625" style="45" customWidth="1"/>
    <col min="36" max="36" width="13.140625" style="45" hidden="1" customWidth="1"/>
    <col min="37" max="37" width="13.140625" style="45" customWidth="1"/>
    <col min="38" max="38" width="13.140625" style="45" hidden="1" customWidth="1"/>
    <col min="39" max="39" width="20.42578125" style="45" customWidth="1"/>
    <col min="40" max="40" width="13.140625" style="45" customWidth="1"/>
    <col min="41" max="42" width="13.140625" style="66" hidden="1" customWidth="1"/>
    <col min="43" max="43" width="13.140625" style="45" customWidth="1"/>
    <col min="44" max="45" width="13.140625" style="66" hidden="1" customWidth="1"/>
    <col min="46" max="46" width="13.140625" style="45" customWidth="1"/>
    <col min="47" max="48" width="13.140625" style="66" hidden="1" customWidth="1"/>
    <col min="49" max="49" width="13.140625" style="45" customWidth="1"/>
    <col min="50" max="51" width="13.140625" style="66" hidden="1" customWidth="1"/>
    <col min="52" max="52" width="13.140625" style="45" customWidth="1"/>
    <col min="53" max="54" width="13.140625" style="66" hidden="1" customWidth="1"/>
    <col min="55" max="55" width="13.140625" style="45" customWidth="1"/>
    <col min="56" max="57" width="13.140625" style="66" hidden="1" customWidth="1"/>
    <col min="58" max="58" width="13.140625" style="45" customWidth="1"/>
    <col min="59" max="60" width="13.140625" style="66" hidden="1" customWidth="1"/>
    <col min="61" max="61" width="18.140625" style="45" bestFit="1" customWidth="1"/>
    <col min="62" max="63" width="18.140625" style="66" hidden="1" customWidth="1"/>
    <col min="64" max="64" width="11.42578125" style="160" customWidth="1"/>
    <col min="65" max="65" width="11.5703125" style="5" hidden="1" customWidth="1"/>
    <col min="66" max="66" width="11.5703125" style="7" customWidth="1"/>
    <col min="67" max="67" width="8.7109375" style="160" bestFit="1" customWidth="1"/>
    <col min="68" max="69" width="8.7109375" style="160"/>
    <col min="70" max="70" width="2.7109375" style="160" customWidth="1"/>
    <col min="71" max="71" width="14.28515625" style="144" customWidth="1"/>
    <col min="72" max="72" width="11" style="144" hidden="1" customWidth="1"/>
    <col min="73" max="73" width="10.85546875" style="144" customWidth="1"/>
    <col min="74" max="74" width="8.7109375" style="144" hidden="1" customWidth="1"/>
    <col min="75" max="75" width="11.42578125" style="144" customWidth="1"/>
    <col min="76" max="76" width="8.7109375" style="144" hidden="1" customWidth="1"/>
    <col min="77" max="77" width="8.7109375" style="144" customWidth="1"/>
    <col min="78" max="78" width="8.7109375" style="144" hidden="1" customWidth="1"/>
    <col min="79" max="79" width="8.7109375" style="144" customWidth="1"/>
    <col min="80" max="80" width="8.7109375" style="144" hidden="1" customWidth="1"/>
    <col min="81" max="81" width="8.7109375" style="144" customWidth="1"/>
    <col min="82" max="82" width="11.7109375" style="144" hidden="1" customWidth="1"/>
    <col min="83" max="83" width="8.7109375" style="144" customWidth="1"/>
    <col min="84" max="84" width="8.7109375" style="144" hidden="1" customWidth="1"/>
    <col min="85" max="85" width="12.5703125" style="144" customWidth="1"/>
    <col min="86" max="86" width="8.7109375" style="144" hidden="1" customWidth="1"/>
    <col min="87" max="87" width="8.7109375" style="144" customWidth="1"/>
    <col min="88" max="88" width="9.42578125" style="144" hidden="1" customWidth="1"/>
    <col min="89" max="89" width="2.85546875" style="160" customWidth="1"/>
    <col min="90" max="90" width="13" style="118" customWidth="1"/>
    <col min="91" max="91" width="12.140625" style="118" hidden="1" customWidth="1"/>
    <col min="92" max="92" width="10" style="118" customWidth="1"/>
    <col min="93" max="93" width="10.140625" style="118" hidden="1" customWidth="1"/>
    <col min="94" max="94" width="8.85546875" style="118" customWidth="1"/>
    <col min="95" max="95" width="5.5703125" style="118" hidden="1" customWidth="1"/>
    <col min="96" max="16384" width="8.7109375" style="160"/>
  </cols>
  <sheetData>
    <row r="1" spans="1:95" ht="15.75" thickBot="1" x14ac:dyDescent="0.3">
      <c r="B1" s="18"/>
      <c r="C1" s="19"/>
      <c r="D1" s="20"/>
      <c r="E1" s="20"/>
      <c r="F1" s="62"/>
      <c r="G1" s="19"/>
      <c r="H1" s="19"/>
      <c r="I1" s="62"/>
      <c r="J1" s="19"/>
      <c r="K1" s="19"/>
      <c r="L1" s="62"/>
      <c r="M1" s="37"/>
      <c r="N1" s="37"/>
      <c r="O1" s="37"/>
      <c r="P1" s="37"/>
      <c r="Q1" s="37"/>
      <c r="R1" s="37"/>
      <c r="S1" s="64"/>
      <c r="T1" s="37"/>
      <c r="U1" s="37"/>
      <c r="V1" s="37"/>
      <c r="W1" s="37"/>
      <c r="X1" s="64"/>
      <c r="Y1" s="64"/>
      <c r="Z1" s="64"/>
      <c r="AA1" s="64"/>
      <c r="AB1" s="37"/>
      <c r="AC1" s="21"/>
      <c r="AD1" s="37"/>
      <c r="AE1" s="37"/>
      <c r="AF1" s="37"/>
      <c r="AG1" s="37"/>
      <c r="AH1" s="37"/>
      <c r="AI1" s="37"/>
      <c r="AJ1" s="37"/>
      <c r="AK1" s="37"/>
      <c r="AL1" s="37"/>
      <c r="AM1" s="37"/>
      <c r="AN1" s="37"/>
      <c r="AO1" s="64"/>
      <c r="AP1" s="64"/>
      <c r="AQ1" s="37"/>
      <c r="AR1" s="64"/>
      <c r="AS1" s="64"/>
      <c r="AT1" s="37"/>
      <c r="AU1" s="64"/>
      <c r="AV1" s="64"/>
      <c r="AW1" s="37"/>
      <c r="AX1" s="64"/>
      <c r="AY1" s="64"/>
      <c r="AZ1" s="37"/>
      <c r="BA1" s="64"/>
      <c r="BB1" s="64"/>
      <c r="BC1" s="37"/>
      <c r="BD1" s="64"/>
      <c r="BE1" s="64"/>
      <c r="BF1" s="37"/>
      <c r="BG1" s="64"/>
      <c r="BH1" s="64"/>
      <c r="BI1" s="37"/>
      <c r="BJ1" s="64"/>
      <c r="BK1" s="64"/>
      <c r="BN1" s="21"/>
      <c r="BS1" s="160"/>
      <c r="BT1" s="160"/>
      <c r="BU1" s="160"/>
      <c r="BV1" s="160"/>
      <c r="BW1" s="160"/>
      <c r="BX1" s="160"/>
      <c r="BY1" s="160"/>
      <c r="BZ1" s="160"/>
      <c r="CA1" s="160"/>
      <c r="CB1" s="160"/>
      <c r="CC1" s="160"/>
      <c r="CD1" s="160"/>
      <c r="CE1" s="160"/>
      <c r="CF1" s="160"/>
      <c r="CG1" s="160"/>
      <c r="CH1" s="160"/>
      <c r="CI1" s="160"/>
      <c r="CJ1" s="160"/>
    </row>
    <row r="2" spans="1:95" ht="15.75" thickBot="1" x14ac:dyDescent="0.3">
      <c r="B2" s="18"/>
      <c r="C2" s="19"/>
      <c r="D2" s="641" t="s">
        <v>306</v>
      </c>
      <c r="E2" s="642"/>
      <c r="F2" s="642"/>
      <c r="G2" s="642"/>
      <c r="H2" s="642"/>
      <c r="I2" s="642"/>
      <c r="J2" s="642"/>
      <c r="K2" s="642"/>
      <c r="L2" s="642"/>
      <c r="M2" s="642"/>
      <c r="N2" s="642"/>
      <c r="O2" s="642"/>
      <c r="P2" s="642"/>
      <c r="Q2" s="642"/>
      <c r="R2" s="642"/>
      <c r="S2" s="642"/>
      <c r="T2" s="642"/>
      <c r="U2" s="642"/>
      <c r="V2" s="642"/>
      <c r="W2" s="642"/>
      <c r="X2" s="642"/>
      <c r="Y2" s="642"/>
      <c r="Z2" s="643"/>
      <c r="AA2" s="294"/>
      <c r="AB2" s="644" t="s">
        <v>310</v>
      </c>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6"/>
      <c r="BM2" s="299"/>
      <c r="BN2" s="21"/>
      <c r="BS2" s="160"/>
      <c r="BT2" s="160"/>
      <c r="BU2" s="160"/>
      <c r="BV2" s="160"/>
      <c r="BW2" s="160"/>
      <c r="BX2" s="160"/>
      <c r="BY2" s="160"/>
      <c r="BZ2" s="160"/>
      <c r="CA2" s="160"/>
      <c r="CB2" s="160"/>
      <c r="CC2" s="160"/>
      <c r="CD2" s="160"/>
      <c r="CE2" s="160"/>
      <c r="CF2" s="160"/>
      <c r="CG2" s="160"/>
      <c r="CH2" s="160"/>
      <c r="CI2" s="160"/>
      <c r="CJ2" s="160"/>
    </row>
    <row r="3" spans="1:95" ht="14.25" customHeight="1" thickBot="1" x14ac:dyDescent="0.3">
      <c r="B3" s="18"/>
      <c r="C3" s="19"/>
      <c r="D3" s="236"/>
      <c r="E3" s="237"/>
      <c r="F3" s="238"/>
      <c r="G3" s="239"/>
      <c r="H3" s="239"/>
      <c r="I3" s="238"/>
      <c r="J3" s="239"/>
      <c r="K3" s="239"/>
      <c r="L3" s="238"/>
      <c r="M3" s="647" t="s">
        <v>181</v>
      </c>
      <c r="N3" s="648"/>
      <c r="O3" s="648"/>
      <c r="P3" s="648"/>
      <c r="Q3" s="648"/>
      <c r="R3" s="648"/>
      <c r="S3" s="648"/>
      <c r="T3" s="649"/>
      <c r="U3" s="96"/>
      <c r="V3" s="635" t="s">
        <v>183</v>
      </c>
      <c r="W3" s="636"/>
      <c r="X3" s="636"/>
      <c r="Y3" s="636"/>
      <c r="Z3" s="637"/>
      <c r="AA3" s="297"/>
      <c r="AB3" s="638" t="s">
        <v>308</v>
      </c>
      <c r="AC3" s="639"/>
      <c r="AD3" s="640"/>
      <c r="AE3" s="629" t="s">
        <v>353</v>
      </c>
      <c r="AF3" s="630"/>
      <c r="AG3" s="630"/>
      <c r="AH3" s="630"/>
      <c r="AI3" s="630"/>
      <c r="AJ3" s="630"/>
      <c r="AK3" s="631"/>
      <c r="AL3" s="550"/>
      <c r="AM3" s="384" t="s">
        <v>362</v>
      </c>
      <c r="AN3" s="635" t="s">
        <v>188</v>
      </c>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7"/>
      <c r="BM3" s="300"/>
      <c r="BN3" s="90"/>
      <c r="BO3" s="635" t="s">
        <v>219</v>
      </c>
      <c r="BP3" s="636"/>
      <c r="BQ3" s="637"/>
      <c r="BR3" s="100"/>
      <c r="BS3" s="626" t="s">
        <v>415</v>
      </c>
      <c r="BT3" s="627"/>
      <c r="BU3" s="627"/>
      <c r="BV3" s="627"/>
      <c r="BW3" s="627"/>
      <c r="BX3" s="627"/>
      <c r="BY3" s="627"/>
      <c r="BZ3" s="627"/>
      <c r="CA3" s="627"/>
      <c r="CB3" s="627"/>
      <c r="CC3" s="627"/>
      <c r="CD3" s="627"/>
      <c r="CE3" s="627"/>
      <c r="CF3" s="627"/>
      <c r="CG3" s="627"/>
      <c r="CH3" s="627"/>
      <c r="CI3" s="628"/>
      <c r="CJ3" s="549"/>
    </row>
    <row r="4" spans="1:95" ht="15" hidden="1" customHeight="1" thickBot="1" x14ac:dyDescent="0.3">
      <c r="D4" s="240"/>
      <c r="E4" s="241"/>
      <c r="F4" s="242"/>
      <c r="G4" s="97"/>
      <c r="H4" s="97"/>
      <c r="I4" s="242"/>
      <c r="J4" s="97"/>
      <c r="K4" s="97"/>
      <c r="L4" s="242"/>
      <c r="M4" s="46"/>
      <c r="N4" s="47"/>
      <c r="O4" s="47"/>
      <c r="P4" s="47"/>
      <c r="Q4" s="47"/>
      <c r="R4" s="47"/>
      <c r="S4" s="65"/>
      <c r="T4" s="48"/>
      <c r="U4" s="48"/>
      <c r="V4" s="49"/>
      <c r="W4" s="49"/>
      <c r="X4" s="67"/>
      <c r="Y4" s="195"/>
      <c r="Z4" s="67"/>
      <c r="AA4" s="195"/>
      <c r="AB4" s="12"/>
      <c r="AC4" s="12"/>
      <c r="AD4" s="46"/>
      <c r="AE4" s="46"/>
      <c r="AF4" s="46"/>
      <c r="AG4" s="46"/>
      <c r="AH4" s="46"/>
      <c r="AI4" s="46"/>
      <c r="AJ4" s="46"/>
      <c r="AK4" s="46"/>
      <c r="AL4" s="49"/>
      <c r="AM4" s="49"/>
      <c r="AN4" s="364"/>
      <c r="AO4" s="68"/>
      <c r="AP4" s="68"/>
      <c r="AQ4" s="39"/>
      <c r="AR4" s="69"/>
      <c r="AS4" s="69"/>
      <c r="AT4" s="39"/>
      <c r="AU4" s="69"/>
      <c r="AV4" s="69"/>
      <c r="AW4" s="39"/>
      <c r="AX4" s="69"/>
      <c r="AY4" s="69"/>
      <c r="AZ4" s="39"/>
      <c r="BA4" s="69"/>
      <c r="BB4" s="69"/>
      <c r="BC4" s="39"/>
      <c r="BD4" s="69"/>
      <c r="BE4" s="69"/>
      <c r="BF4" s="39"/>
      <c r="BG4" s="70"/>
      <c r="BH4" s="70"/>
      <c r="BI4" s="40"/>
      <c r="BJ4" s="65"/>
      <c r="BK4" s="65"/>
      <c r="BL4" s="104"/>
      <c r="BM4" s="301"/>
      <c r="BN4" s="13"/>
      <c r="BO4" s="184"/>
      <c r="BP4" s="148"/>
      <c r="BQ4" s="287"/>
      <c r="BR4" s="97"/>
      <c r="BS4" s="103"/>
      <c r="BT4" s="99"/>
      <c r="BU4" s="99"/>
      <c r="BV4" s="99"/>
      <c r="BW4" s="99"/>
      <c r="BX4" s="99"/>
      <c r="BY4" s="99"/>
      <c r="BZ4" s="99"/>
      <c r="CA4" s="99"/>
      <c r="CB4" s="99"/>
      <c r="CC4" s="99"/>
      <c r="CD4" s="99"/>
      <c r="CE4" s="99"/>
      <c r="CF4" s="99"/>
      <c r="CG4" s="99"/>
      <c r="CH4" s="99"/>
      <c r="CI4" s="104"/>
      <c r="CJ4" s="104"/>
    </row>
    <row r="5" spans="1:95" s="185" customFormat="1" ht="82.5" customHeight="1" thickBot="1" x14ac:dyDescent="0.3">
      <c r="B5" s="102" t="s">
        <v>216</v>
      </c>
      <c r="C5" s="541" t="s">
        <v>186</v>
      </c>
      <c r="D5" s="202" t="s">
        <v>198</v>
      </c>
      <c r="E5" s="459" t="s">
        <v>463</v>
      </c>
      <c r="F5" s="321" t="s">
        <v>227</v>
      </c>
      <c r="G5" s="322" t="s">
        <v>199</v>
      </c>
      <c r="H5" s="505" t="s">
        <v>464</v>
      </c>
      <c r="I5" s="204" t="s">
        <v>228</v>
      </c>
      <c r="J5" s="197" t="s">
        <v>257</v>
      </c>
      <c r="K5" s="506" t="s">
        <v>465</v>
      </c>
      <c r="L5" s="201" t="s">
        <v>229</v>
      </c>
      <c r="M5" s="202" t="s">
        <v>177</v>
      </c>
      <c r="N5" s="507" t="s">
        <v>499</v>
      </c>
      <c r="O5" s="203" t="s">
        <v>178</v>
      </c>
      <c r="P5" s="459" t="s">
        <v>500</v>
      </c>
      <c r="Q5" s="199" t="s">
        <v>258</v>
      </c>
      <c r="R5" s="459" t="s">
        <v>501</v>
      </c>
      <c r="S5" s="204" t="s">
        <v>230</v>
      </c>
      <c r="T5" s="206" t="s">
        <v>71</v>
      </c>
      <c r="U5" s="508" t="s">
        <v>502</v>
      </c>
      <c r="V5" s="199" t="s">
        <v>247</v>
      </c>
      <c r="W5" s="509" t="s">
        <v>503</v>
      </c>
      <c r="X5" s="323" t="s">
        <v>231</v>
      </c>
      <c r="Y5" s="264" t="s">
        <v>303</v>
      </c>
      <c r="Z5" s="243" t="s">
        <v>305</v>
      </c>
      <c r="AA5" s="448" t="s">
        <v>504</v>
      </c>
      <c r="AB5" s="390" t="s">
        <v>375</v>
      </c>
      <c r="AC5" s="510" t="s">
        <v>470</v>
      </c>
      <c r="AD5" s="210" t="s">
        <v>307</v>
      </c>
      <c r="AE5" s="353" t="s">
        <v>344</v>
      </c>
      <c r="AF5" s="353" t="s">
        <v>354</v>
      </c>
      <c r="AG5" s="353" t="s">
        <v>358</v>
      </c>
      <c r="AH5" s="353" t="s">
        <v>355</v>
      </c>
      <c r="AI5" s="353" t="s">
        <v>346</v>
      </c>
      <c r="AJ5" s="353" t="s">
        <v>356</v>
      </c>
      <c r="AK5" s="354" t="s">
        <v>347</v>
      </c>
      <c r="AL5" s="354" t="s">
        <v>357</v>
      </c>
      <c r="AM5" s="385" t="s">
        <v>374</v>
      </c>
      <c r="AN5" s="365" t="s">
        <v>414</v>
      </c>
      <c r="AO5" s="220" t="s">
        <v>232</v>
      </c>
      <c r="AP5" s="511" t="s">
        <v>471</v>
      </c>
      <c r="AQ5" s="355" t="s">
        <v>413</v>
      </c>
      <c r="AR5" s="213" t="s">
        <v>233</v>
      </c>
      <c r="AS5" s="512" t="s">
        <v>472</v>
      </c>
      <c r="AT5" s="214" t="s">
        <v>248</v>
      </c>
      <c r="AU5" s="221" t="s">
        <v>234</v>
      </c>
      <c r="AV5" s="513" t="s">
        <v>473</v>
      </c>
      <c r="AW5" s="214" t="s">
        <v>249</v>
      </c>
      <c r="AX5" s="221" t="s">
        <v>235</v>
      </c>
      <c r="AY5" s="513" t="s">
        <v>474</v>
      </c>
      <c r="AZ5" s="214" t="s">
        <v>250</v>
      </c>
      <c r="BA5" s="221" t="s">
        <v>236</v>
      </c>
      <c r="BB5" s="513" t="s">
        <v>475</v>
      </c>
      <c r="BC5" s="214" t="s">
        <v>251</v>
      </c>
      <c r="BD5" s="221" t="s">
        <v>237</v>
      </c>
      <c r="BE5" s="513" t="s">
        <v>476</v>
      </c>
      <c r="BF5" s="214" t="s">
        <v>252</v>
      </c>
      <c r="BG5" s="222" t="s">
        <v>238</v>
      </c>
      <c r="BH5" s="513" t="s">
        <v>477</v>
      </c>
      <c r="BI5" s="217" t="s">
        <v>253</v>
      </c>
      <c r="BJ5" s="218" t="s">
        <v>239</v>
      </c>
      <c r="BK5" s="514" t="s">
        <v>478</v>
      </c>
      <c r="BL5" s="219" t="s">
        <v>309</v>
      </c>
      <c r="BM5" s="324" t="s">
        <v>327</v>
      </c>
      <c r="BN5" s="284" t="s">
        <v>226</v>
      </c>
      <c r="BO5" s="467" t="s">
        <v>505</v>
      </c>
      <c r="BP5" s="467" t="s">
        <v>423</v>
      </c>
      <c r="BQ5" s="467" t="s">
        <v>328</v>
      </c>
      <c r="BR5" s="101"/>
      <c r="BS5" s="391" t="s">
        <v>377</v>
      </c>
      <c r="BT5" s="391" t="s">
        <v>376</v>
      </c>
      <c r="BU5" s="392" t="s">
        <v>379</v>
      </c>
      <c r="BV5" s="392" t="s">
        <v>378</v>
      </c>
      <c r="BW5" s="392" t="s">
        <v>381</v>
      </c>
      <c r="BX5" s="392" t="s">
        <v>380</v>
      </c>
      <c r="BY5" s="392" t="s">
        <v>416</v>
      </c>
      <c r="BZ5" s="392" t="s">
        <v>386</v>
      </c>
      <c r="CA5" s="392" t="s">
        <v>417</v>
      </c>
      <c r="CB5" s="392" t="s">
        <v>388</v>
      </c>
      <c r="CC5" s="392" t="s">
        <v>382</v>
      </c>
      <c r="CD5" s="392" t="s">
        <v>387</v>
      </c>
      <c r="CE5" s="392" t="s">
        <v>383</v>
      </c>
      <c r="CF5" s="392" t="s">
        <v>390</v>
      </c>
      <c r="CG5" s="392" t="s">
        <v>384</v>
      </c>
      <c r="CH5" s="392" t="s">
        <v>391</v>
      </c>
      <c r="CI5" s="393" t="s">
        <v>385</v>
      </c>
      <c r="CJ5" s="420" t="s">
        <v>392</v>
      </c>
      <c r="CL5" s="108" t="s">
        <v>254</v>
      </c>
      <c r="CM5" s="393" t="s">
        <v>459</v>
      </c>
      <c r="CN5" s="105" t="s">
        <v>255</v>
      </c>
      <c r="CO5" s="391" t="s">
        <v>460</v>
      </c>
      <c r="CP5" s="106" t="s">
        <v>256</v>
      </c>
      <c r="CQ5" s="392" t="s">
        <v>461</v>
      </c>
    </row>
    <row r="6" spans="1:95" ht="15" customHeight="1" x14ac:dyDescent="0.25">
      <c r="A6" s="650" t="s">
        <v>294</v>
      </c>
      <c r="B6" s="542" t="s">
        <v>23</v>
      </c>
      <c r="C6" s="310">
        <f>IFERROR(VLOOKUP(B6,'Staff In Post'!A:C,3,FALSE),0)</f>
        <v>276</v>
      </c>
      <c r="D6" s="244">
        <f>IFERROR(VLOOKUP(B6,'Mandatory Training'!A:C,3,FALSE),0)</f>
        <v>0.56666666666666665</v>
      </c>
      <c r="E6" s="24">
        <f>IFERROR(VLOOKUP(B6,'Previous Dashboard'!B:CR,3,FALSE),0)</f>
        <v>0.59825327510917026</v>
      </c>
      <c r="F6" s="63">
        <f>IF(D6&gt;=Benchmark!C$4,1,0)</f>
        <v>0</v>
      </c>
      <c r="G6" s="24">
        <f>IFERROR(VLOOKUP(B6,Appraisals!A:C,3,FALSE),0)</f>
        <v>0.90963855421686746</v>
      </c>
      <c r="H6" s="24">
        <f>IFERROR(VLOOKUP(B6,'Previous Dashboard'!B:CR,6,FALSE),0)</f>
        <v>0.94409937888198758</v>
      </c>
      <c r="I6" s="63">
        <f>IF(G6&gt;=Benchmark!E$4,1,0)</f>
        <v>1</v>
      </c>
      <c r="J6" s="59">
        <f t="shared" ref="J6:J36" si="0">AVERAGE(D6,G6)</f>
        <v>0.73815261044176705</v>
      </c>
      <c r="K6" s="91">
        <f t="shared" ref="K6:K36" si="1">AVERAGE(E6, H6)</f>
        <v>0.77117632699557892</v>
      </c>
      <c r="L6" s="63">
        <f>IF(J6&gt;=Benchmark!G$4,1,0)</f>
        <v>0</v>
      </c>
      <c r="M6" s="42">
        <f>IFERROR(VLOOKUP(B6,Stress!A:D,4,FALSE),"-")</f>
        <v>1.01288457144367E-2</v>
      </c>
      <c r="N6" s="60">
        <f>IFERROR(VLOOKUP(B6,'Previous Dashboard'!B:CR,12,FALSE),0)</f>
        <v>1.8923563081231099E-2</v>
      </c>
      <c r="O6" s="43">
        <f>IFERROR(VLOOKUP(B6,'Musculo Skeletal'!A:D,4,FALSE),"-")</f>
        <v>7.0700507559993296E-3</v>
      </c>
      <c r="P6" s="43">
        <f>IFERROR(VLOOKUP(B6,'Previous Dashboard'!B:CR,14,FALSE),0)</f>
        <v>6.7179777739903501E-3</v>
      </c>
      <c r="Q6" s="43">
        <f>IFERROR(VLOOKUP(B6,'All Sickness'!A:D,4,FALSE),"-")</f>
        <v>6.2782543985315298E-2</v>
      </c>
      <c r="R6" s="43">
        <f>IFERROR(VLOOKUP(B6,'Previous Dashboard'!B:CR,16,FALSE),0)</f>
        <v>6.3185113481917299E-2</v>
      </c>
      <c r="S6" s="63">
        <f>IF(Q6&lt;=Benchmark!K$4,1,0)</f>
        <v>0</v>
      </c>
      <c r="T6" s="44">
        <f>IFERROR(VLOOKUP(B6,LT.ST!A:C,3,FALSE),"-")</f>
        <v>1.6586241229287899E-2</v>
      </c>
      <c r="U6" s="43">
        <f>IFERROR(VLOOKUP(B6,'Previous Dashboard'!B:CR,19,FALSE),0)</f>
        <v>2.0032749335843199E-2</v>
      </c>
      <c r="V6" s="42">
        <f>IFERROR(VLOOKUP(B6,Turnover!A:C,2,FALSE),0)</f>
        <v>3.3402922755741103E-2</v>
      </c>
      <c r="W6" s="60">
        <f>IFERROR(VLOOKUP(B6,'Previous Dashboard'!B:CR,21,FALSE),0)</f>
        <v>3.0172413793103401E-2</v>
      </c>
      <c r="X6" s="63">
        <f>IF(V6&lt;=Benchmark!N$4,1,0)</f>
        <v>1</v>
      </c>
      <c r="Y6" s="159">
        <f>IFERROR(VLOOKUP(B6,Leavers!A:I,6,FALSE),0)</f>
        <v>8</v>
      </c>
      <c r="Z6" s="245">
        <f t="shared" ref="Z6:Z36" si="2">SUM(L6, S6, X6)</f>
        <v>1</v>
      </c>
      <c r="AA6" s="298">
        <f>IFERROR(VLOOKUP(B6,'Previous Dashboard'!B:CR,25,FALSE),0)</f>
        <v>1</v>
      </c>
      <c r="AB6" s="190">
        <f>IFERROR(VLOOKUP(VLOOKUP($B6,'Pulse Mapping'!$A:$C,3,FALSE),'Pulse Survey'!$A:$J,2,FALSE),0)</f>
        <v>69</v>
      </c>
      <c r="AC6" s="25">
        <f>IFERROR(VLOOKUP(B6,'Previous Dashboard'!B:CR,27,FALSE),0)</f>
        <v>47</v>
      </c>
      <c r="AD6" s="361">
        <f t="shared" ref="AD6:AD36" si="3" xml:space="preserve"> AB6/C6</f>
        <v>0.25</v>
      </c>
      <c r="AE6" s="408">
        <f>IFERROR(VLOOKUP(B6,'Staff Engagement'!A:E,5,FALSE),0)</f>
        <v>5.6723027375201296</v>
      </c>
      <c r="AF6" s="409">
        <f>IFERROR(VLOOKUP(B6,'Previous Dashboard'!B:CQ,30,FALSE),0)</f>
        <v>5.7505910165484639</v>
      </c>
      <c r="AG6" s="110">
        <f>IFERROR(VLOOKUP(B6,'Staff Engagement'!A:E,2,FALSE),0)</f>
        <v>4.9637681159420293</v>
      </c>
      <c r="AH6" s="409">
        <f>IFERROR(VLOOKUP(B6,'Previous Dashboard'!B:CQ,32,FALSE),0)</f>
        <v>5.2836879432624118</v>
      </c>
      <c r="AI6" s="110">
        <f>IFERROR(VLOOKUP(B6,'Staff Engagement'!A:E,3,FALSE),0)</f>
        <v>5.6038647342995169</v>
      </c>
      <c r="AJ6" s="409">
        <f>IFERROR(VLOOKUP(B6,'Previous Dashboard'!B:CQ,34,FALSE),0)</f>
        <v>5.6028368794326244</v>
      </c>
      <c r="AK6" s="110">
        <f>IFERROR(VLOOKUP(B6,'Staff Engagement'!A:E,4,FALSE),0)</f>
        <v>6.4492753623188408</v>
      </c>
      <c r="AL6" s="271">
        <f>IFERROR(VLOOKUP(B6,'Previous Dashboard'!B:CQ,36,FALSE),0)</f>
        <v>6.3652482269503547</v>
      </c>
      <c r="AM6" s="386">
        <f>IFERROR(VLOOKUP(B6,'Patient Experience'!A:K,9,FALSE),0)</f>
        <v>0.84782608695652173</v>
      </c>
      <c r="AN6" s="60">
        <f>IFERROR(VLOOKUP(VLOOKUP($B6,'Pulse Mapping'!$A:$C,3,FALSE),'Pulse Survey'!$A:$J,'Pulse Survey'!C$1,FALSE),0)</f>
        <v>0.34782608695652173</v>
      </c>
      <c r="AO6" s="63" cm="1">
        <f t="array" ref="AO6">_xlfn.IFS(AN6 = "-",0,AN6 &gt;=Benchmark!R$4,1,AN6&lt;Benchmark!R$4,0)</f>
        <v>0</v>
      </c>
      <c r="AP6" s="43">
        <f>IFERROR(VLOOKUP(B6,'Previous Dashboard'!B:CR,39,FALSE),0)</f>
        <v>0.44680851063829785</v>
      </c>
      <c r="AQ6" s="43">
        <f>IFERROR(VLOOKUP(VLOOKUP($B6,'Pulse Mapping'!$A:$C,3,FALSE),'Pulse Survey'!$A:$J,'Pulse Survey'!D$1,FALSE),0)</f>
        <v>0.42028985507246375</v>
      </c>
      <c r="AR6" s="63" cm="1">
        <f t="array" ref="AR6">_xlfn.IFS(AQ6 = "-",0,AQ6 &gt;=Benchmark!T$4,1,AQ6&lt;Benchmark!T$4,0)</f>
        <v>0</v>
      </c>
      <c r="AS6" s="24">
        <f>IFERROR(VLOOKUP(B6,'Previous Dashboard'!B:CR,42,FALSE),0)</f>
        <v>0.44680851063829791</v>
      </c>
      <c r="AT6" s="43">
        <f>IFERROR(VLOOKUP(VLOOKUP($B6,'Pulse Mapping'!$A:$C,3,FALSE),'Pulse Survey'!$A:$J,'Pulse Survey'!E$1,FALSE),0)</f>
        <v>0.47826086956521741</v>
      </c>
      <c r="AU6" s="63" cm="1">
        <f t="array" ref="AU6">_xlfn.IFS(AT6 = "-",0,AT6 &gt;=Benchmark!V$4,1,AT6&lt;Benchmark!V$4,0)</f>
        <v>0</v>
      </c>
      <c r="AV6" s="24">
        <f>IFERROR(VLOOKUP(B6,'Previous Dashboard'!B:CR,45,FALSE),0)</f>
        <v>0.42553191489361702</v>
      </c>
      <c r="AW6" s="43">
        <f>IFERROR(VLOOKUP(VLOOKUP($B6,'Pulse Mapping'!$A:$C,3,FALSE),'Pulse Survey'!$A:$J,'Pulse Survey'!F$1,FALSE),0)</f>
        <v>0.40579710144927539</v>
      </c>
      <c r="AX6" s="63" cm="1">
        <f t="array" ref="AX6">_xlfn.IFS(AW6 = "-",0,AW6 &gt;=Benchmark!X$4,1,AW6&lt;Benchmark!X$4,0)</f>
        <v>0</v>
      </c>
      <c r="AY6" s="24">
        <f>IFERROR(VLOOKUP(B6,'Previous Dashboard'!B:CR,48,FALSE),0)</f>
        <v>0.40425531914893614</v>
      </c>
      <c r="AZ6" s="43">
        <f>IFERROR(VLOOKUP(VLOOKUP($B6,'Pulse Mapping'!$A:$C,3,FALSE),'Pulse Survey'!$A:$J,'Pulse Survey'!G$1,FALSE),0)</f>
        <v>0.46376811594202899</v>
      </c>
      <c r="BA6" s="63" cm="1">
        <f t="array" ref="BA6">_xlfn.IFS(AZ6 = "-",0,AZ6 &gt;=Benchmark!Z$4,1,AZ6&lt;Benchmark!Z$4,0)</f>
        <v>0</v>
      </c>
      <c r="BB6" s="24">
        <f>IFERROR(VLOOKUP(B6,'Previous Dashboard'!B:CR,51,FALSE),0)</f>
        <v>0.46808510638297873</v>
      </c>
      <c r="BC6" s="43">
        <f>IFERROR(VLOOKUP(VLOOKUP($B6,'Pulse Mapping'!$A:$C,3,FALSE),'Pulse Survey'!$A:$J,'Pulse Survey'!H$1,FALSE),0)</f>
        <v>0.47826086956521741</v>
      </c>
      <c r="BD6" s="63" cm="1">
        <f t="array" ref="BD6">_xlfn.IFS(BC6 = "-",0,BC6 &gt;=Benchmark!AB$4,1,BC6&lt;Benchmark!AB$4,0)</f>
        <v>0</v>
      </c>
      <c r="BE6" s="24">
        <f>IFERROR(VLOOKUP(B6,'Previous Dashboard'!B:CR,54,FALSE),0)</f>
        <v>0.42553191489361697</v>
      </c>
      <c r="BF6" s="43">
        <f>IFERROR(VLOOKUP(VLOOKUP($B6,'Pulse Mapping'!$A:$C,3,FALSE),'Pulse Survey'!$A:$J,'Pulse Survey'!I$1,FALSE),0)</f>
        <v>0.65217391304347827</v>
      </c>
      <c r="BG6" s="63" cm="1">
        <f t="array" ref="BG6">_xlfn.IFS(BF6 = "-",0,BF6 &gt;=Benchmark!AD$4,1,BF6&lt;Benchmark!AD$4,0)</f>
        <v>0</v>
      </c>
      <c r="BH6" s="91">
        <f>IFERROR(VLOOKUP(B6,'Previous Dashboard'!B:CR,57,FALSE),0)</f>
        <v>0.57446808510638303</v>
      </c>
      <c r="BI6" s="44">
        <f>IFERROR(VLOOKUP(VLOOKUP($B6,'Pulse Mapping'!$A:$C,3,FALSE),'Pulse Survey'!$A:$J,'Pulse Survey'!J$1,FALSE),0)</f>
        <v>0.39130434782608697</v>
      </c>
      <c r="BJ6" s="63" cm="1">
        <f t="array" ref="BJ6">_xlfn.IFS(BI6 = "-",0,BI6 &gt;=Benchmark!AF$4,1,BI6&lt;Benchmark!AF$4,0)</f>
        <v>0</v>
      </c>
      <c r="BK6" s="145">
        <f>IFERROR(VLOOKUP(B6,'Previous Dashboard'!B:CR,60,FALSE),0)</f>
        <v>0.42553191489361702</v>
      </c>
      <c r="BL6" s="191">
        <f t="shared" ref="BL6:BL36" si="4">SUM(AO6, AR6, AU6, AX6, BA6, BD6, BG6, BJ6)</f>
        <v>0</v>
      </c>
      <c r="BM6" s="325">
        <f>IFERROR(VLOOKUP(B6,'Previous Dashboard'!B:CR,63,FALSE),0)</f>
        <v>0</v>
      </c>
      <c r="BN6" s="285">
        <f t="shared" ref="BN6:BN37" si="5">SUM(BJ6, BG6, BD6, BA6, AX6, AU6, AR6, AO6, X6, S6, L6)</f>
        <v>1</v>
      </c>
      <c r="BO6" s="190">
        <f>IFERROR(VLOOKUP(B6,'Previous Dashboard'!B:CR,65,FALSE),0)</f>
        <v>1</v>
      </c>
      <c r="BP6" s="25">
        <f>IFERROR(VLOOKUP(B6,'Previous Dashboard'!B:CR,66,FALSE),0)</f>
        <v>1</v>
      </c>
      <c r="BQ6" s="288">
        <f>IFERROR(VLOOKUP(B6,'Previous Dashboard'!B:CR,67,FALSE),0)</f>
        <v>2</v>
      </c>
      <c r="BR6" s="99"/>
      <c r="BS6" s="139">
        <f>IFERROR(VLOOKUP(B6,'Staff Survey'!B:L,3,FALSE),"-")</f>
        <v>6.6</v>
      </c>
      <c r="BT6" s="400" t="s">
        <v>389</v>
      </c>
      <c r="BU6" s="136">
        <f>IFERROR(VLOOKUP(B6,'Staff Survey'!B:L,4,FALSE),"-")</f>
        <v>5.2</v>
      </c>
      <c r="BV6" s="407" t="s">
        <v>389</v>
      </c>
      <c r="BW6" s="139">
        <f>IFERROR(VLOOKUP(B6,'Staff Survey'!B:L,5,FALSE),"-")</f>
        <v>6.1</v>
      </c>
      <c r="BX6" s="426" t="s">
        <v>389</v>
      </c>
      <c r="BY6" s="139">
        <f>IFERROR(VLOOKUP(B6,'Staff Survey'!B:L,6,FALSE),"-")</f>
        <v>4.9000000000000004</v>
      </c>
      <c r="BZ6" s="426" t="s">
        <v>389</v>
      </c>
      <c r="CA6" s="139">
        <f>IFERROR(VLOOKUP(B6,'Staff Survey'!B:L,7,FALSE),"-")</f>
        <v>5.0999999999999996</v>
      </c>
      <c r="CB6" s="426" t="s">
        <v>389</v>
      </c>
      <c r="CC6" s="139">
        <f>IFERROR(VLOOKUP(B6,'Staff Survey'!B:L,8,FALSE),"-")</f>
        <v>5.5</v>
      </c>
      <c r="CD6" s="426" t="s">
        <v>389</v>
      </c>
      <c r="CE6" s="139">
        <f>IFERROR(VLOOKUP(B6,'Staff Survey'!B:L,9,FALSE),"-")</f>
        <v>6</v>
      </c>
      <c r="CF6" s="426" t="s">
        <v>389</v>
      </c>
      <c r="CG6" s="139">
        <f>IFERROR(VLOOKUP(B6,'Staff Survey'!B:L,10,FALSE),"-")</f>
        <v>6.2</v>
      </c>
      <c r="CH6" s="409">
        <v>7</v>
      </c>
      <c r="CI6" s="418">
        <f>IFERROR(VLOOKUP(B6,'Staff Survey'!B:L,11,FALSE),"-")</f>
        <v>5.0999999999999996</v>
      </c>
      <c r="CJ6" s="271">
        <v>6</v>
      </c>
      <c r="CL6" s="119">
        <f>IFERROR(VLOOKUP(B6,'LfE . HR Ops . F2SU'!A:B,2,FALSE),0)</f>
        <v>20</v>
      </c>
      <c r="CM6" s="119">
        <f>IFERROR(VLOOKUP(B6,'Previous Dashboard'!B:CR,89,FALSE),0)</f>
        <v>32</v>
      </c>
      <c r="CN6" s="120"/>
      <c r="CO6" s="121"/>
      <c r="CP6" s="122"/>
      <c r="CQ6" s="122"/>
    </row>
    <row r="7" spans="1:95" x14ac:dyDescent="0.25">
      <c r="A7" s="651"/>
      <c r="B7" s="543" t="s">
        <v>24</v>
      </c>
      <c r="C7" s="310">
        <f>IFERROR(VLOOKUP(B7,'Staff In Post'!A:C,3,FALSE),0)</f>
        <v>226</v>
      </c>
      <c r="D7" s="246">
        <f>IFERROR(VLOOKUP(B7,'Mandatory Training'!A:C,3,FALSE),0)</f>
        <v>0.46500000000000002</v>
      </c>
      <c r="E7" s="24">
        <f>IFERROR(VLOOKUP(B7,'Previous Dashboard'!B:CR,3,FALSE),0)</f>
        <v>0.52577319587628868</v>
      </c>
      <c r="F7" s="63">
        <f>IF(D7&gt;=Benchmark!C$4,1,0)</f>
        <v>0</v>
      </c>
      <c r="G7" s="17">
        <f>IFERROR(VLOOKUP(B7,Appraisals!A:C,3,FALSE),0)</f>
        <v>0.75657894736842102</v>
      </c>
      <c r="H7" s="24">
        <f>IFERROR(VLOOKUP(B7,'Previous Dashboard'!B:CR,6,FALSE),0)</f>
        <v>0.70344827586206893</v>
      </c>
      <c r="I7" s="63">
        <f>IF(G7&gt;=Benchmark!E$4,1,0)</f>
        <v>0</v>
      </c>
      <c r="J7" s="59">
        <f t="shared" si="0"/>
        <v>0.61078947368421055</v>
      </c>
      <c r="K7" s="91">
        <f t="shared" si="1"/>
        <v>0.6146107358691788</v>
      </c>
      <c r="L7" s="63">
        <f>IF(J7&gt;=Benchmark!G$4,1,0)</f>
        <v>0</v>
      </c>
      <c r="M7" s="51">
        <f>IFERROR(VLOOKUP(B7,Stress!A:D,4,FALSE),"-")</f>
        <v>1.86914863417771E-2</v>
      </c>
      <c r="N7" s="60">
        <f>IFERROR(VLOOKUP(B7,'Previous Dashboard'!B:CR,12,FALSE),0)</f>
        <v>2.7934990067967898E-2</v>
      </c>
      <c r="O7" s="52">
        <f>IFERROR(VLOOKUP(B7,'Musculo Skeletal'!A:D,4,FALSE),"-")</f>
        <v>8.5847000184321402E-3</v>
      </c>
      <c r="P7" s="43">
        <f>IFERROR(VLOOKUP(B7,'Previous Dashboard'!B:CR,14,FALSE),0)</f>
        <v>2.43959184786606E-3</v>
      </c>
      <c r="Q7" s="52">
        <f>IFERROR(VLOOKUP(B7,'All Sickness'!A:D,4,FALSE),"-")</f>
        <v>6.5709566164938699E-2</v>
      </c>
      <c r="R7" s="43">
        <f>IFERROR(VLOOKUP(B7,'Previous Dashboard'!B:CR,16,FALSE),0)</f>
        <v>7.5047084301336803E-2</v>
      </c>
      <c r="S7" s="63">
        <f>IF(Q7&lt;=Benchmark!K$4,1,0)</f>
        <v>0</v>
      </c>
      <c r="T7" s="44">
        <f>IFERROR(VLOOKUP(B7,LT.ST!A:C,3,FALSE),"-")</f>
        <v>3.06239215191891E-2</v>
      </c>
      <c r="U7" s="43">
        <f>IFERROR(VLOOKUP(B7,'Previous Dashboard'!B:CR,19,FALSE),0)</f>
        <v>3.3881221941541501E-2</v>
      </c>
      <c r="V7" s="42">
        <f>IFERROR(VLOOKUP(B7,Turnover!A:C,2,FALSE),0)</f>
        <v>3.1914893617021302E-2</v>
      </c>
      <c r="W7" s="60">
        <f>IFERROR(VLOOKUP(B7,'Previous Dashboard'!B:CR,21,FALSE),0)</f>
        <v>4.2105263157894701E-2</v>
      </c>
      <c r="X7" s="63">
        <f>IF(V7&lt;=Benchmark!N$4,1,0)</f>
        <v>1</v>
      </c>
      <c r="Y7" s="159">
        <f>IFERROR(VLOOKUP(B7,Leavers!A:I,6,FALSE),0)</f>
        <v>6</v>
      </c>
      <c r="Z7" s="247">
        <f t="shared" si="2"/>
        <v>1</v>
      </c>
      <c r="AA7" s="298">
        <f>IFERROR(VLOOKUP(B7,'Previous Dashboard'!B:CR,25,FALSE),0)</f>
        <v>1</v>
      </c>
      <c r="AB7" s="188">
        <f>IFERROR(VLOOKUP(VLOOKUP($B7,'Pulse Mapping'!$A:$C,3,FALSE),'Pulse Survey'!$A:$J,2,FALSE),0)</f>
        <v>31</v>
      </c>
      <c r="AC7" s="25">
        <f>IFERROR(VLOOKUP(B7,'Previous Dashboard'!B:CR,27,FALSE),0)</f>
        <v>21</v>
      </c>
      <c r="AD7" s="362">
        <f t="shared" si="3"/>
        <v>0.13716814159292035</v>
      </c>
      <c r="AE7" s="408">
        <f>IFERROR(VLOOKUP(B7,'Staff Engagement'!A:E,5,FALSE),0)</f>
        <v>6.478494623655914</v>
      </c>
      <c r="AF7" s="409">
        <f>IFERROR(VLOOKUP(B7,'Previous Dashboard'!B:CQ,30,FALSE),0)</f>
        <v>6.1904761904761916</v>
      </c>
      <c r="AG7" s="112">
        <f>IFERROR(VLOOKUP(B7,'Staff Engagement'!A:E,2,FALSE),0)</f>
        <v>6.317204301075269</v>
      </c>
      <c r="AH7" s="409">
        <f>IFERROR(VLOOKUP(B7,'Previous Dashboard'!B:CQ,32,FALSE),0)</f>
        <v>5.912698412698413</v>
      </c>
      <c r="AI7" s="110">
        <f>IFERROR(VLOOKUP(B7,'Staff Engagement'!A:E,3,FALSE),0)</f>
        <v>6.075268817204301</v>
      </c>
      <c r="AJ7" s="409">
        <f>IFERROR(VLOOKUP(B7,'Previous Dashboard'!B:CQ,34,FALSE),0)</f>
        <v>5.753968253968254</v>
      </c>
      <c r="AK7" s="112">
        <f>IFERROR(VLOOKUP(B7,'Staff Engagement'!A:E,4,FALSE),0)</f>
        <v>7.043010752688172</v>
      </c>
      <c r="AL7" s="271">
        <f>IFERROR(VLOOKUP(B7,'Previous Dashboard'!B:CQ,36,FALSE),0)</f>
        <v>6.9047619047619051</v>
      </c>
      <c r="AM7" s="386">
        <f>IFERROR(VLOOKUP(B7,'Patient Experience'!A:K,9,FALSE),0)</f>
        <v>0.99115044247787609</v>
      </c>
      <c r="AN7" s="60">
        <f>IFERROR(VLOOKUP(VLOOKUP($B7,'Pulse Mapping'!$A:$C,3,FALSE),'Pulse Survey'!$A:$J,'Pulse Survey'!C$1,FALSE),0)</f>
        <v>0.4838709677419355</v>
      </c>
      <c r="AO7" s="63" cm="1">
        <f t="array" ref="AO7">_xlfn.IFS(AN7 = "-",0,AN7 &gt;=Benchmark!R$4,1,AN7&lt;Benchmark!R$4,0)</f>
        <v>0</v>
      </c>
      <c r="AP7" s="43">
        <f>IFERROR(VLOOKUP(B7,'Previous Dashboard'!B:CR,39,FALSE),0)</f>
        <v>0.42857142857142855</v>
      </c>
      <c r="AQ7" s="43">
        <f>IFERROR(VLOOKUP(VLOOKUP($B7,'Pulse Mapping'!$A:$C,3,FALSE),'Pulse Survey'!$A:$J,'Pulse Survey'!D$1,FALSE),0)</f>
        <v>0.61290322580645162</v>
      </c>
      <c r="AR7" s="63" cm="1">
        <f t="array" ref="AR7">_xlfn.IFS(AQ7 = "-",0,AQ7 &gt;=Benchmark!T$4,1,AQ7&lt;Benchmark!T$4,0)</f>
        <v>0</v>
      </c>
      <c r="AS7" s="24">
        <f>IFERROR(VLOOKUP(B7,'Previous Dashboard'!B:CR,42,FALSE),0)</f>
        <v>0.52380952380952372</v>
      </c>
      <c r="AT7" s="43">
        <f>IFERROR(VLOOKUP(VLOOKUP($B7,'Pulse Mapping'!$A:$C,3,FALSE),'Pulse Survey'!$A:$J,'Pulse Survey'!E$1,FALSE),0)</f>
        <v>0.5161290322580645</v>
      </c>
      <c r="AU7" s="63" cm="1">
        <f t="array" ref="AU7">_xlfn.IFS(AT7 = "-",0,AT7 &gt;=Benchmark!V$4,1,AT7&lt;Benchmark!V$4,0)</f>
        <v>0</v>
      </c>
      <c r="AV7" s="24">
        <f>IFERROR(VLOOKUP(B7,'Previous Dashboard'!B:CR,45,FALSE),0)</f>
        <v>0.61904761904761907</v>
      </c>
      <c r="AW7" s="43">
        <f>IFERROR(VLOOKUP(VLOOKUP($B7,'Pulse Mapping'!$A:$C,3,FALSE),'Pulse Survey'!$A:$J,'Pulse Survey'!F$1,FALSE),0)</f>
        <v>0.38709677419354838</v>
      </c>
      <c r="AX7" s="63" cm="1">
        <f t="array" ref="AX7">_xlfn.IFS(AW7 = "-",0,AW7 &gt;=Benchmark!X$4,1,AW7&lt;Benchmark!X$4,0)</f>
        <v>0</v>
      </c>
      <c r="AY7" s="24">
        <f>IFERROR(VLOOKUP(B7,'Previous Dashboard'!B:CR,48,FALSE),0)</f>
        <v>0.7142857142857143</v>
      </c>
      <c r="AZ7" s="43">
        <f>IFERROR(VLOOKUP(VLOOKUP($B7,'Pulse Mapping'!$A:$C,3,FALSE),'Pulse Survey'!$A:$J,'Pulse Survey'!G$1,FALSE),0)</f>
        <v>0.61290322580645162</v>
      </c>
      <c r="BA7" s="63" cm="1">
        <f t="array" ref="BA7">_xlfn.IFS(AZ7 = "-",0,AZ7 &gt;=Benchmark!Z$4,1,AZ7&lt;Benchmark!Z$4,0)</f>
        <v>0</v>
      </c>
      <c r="BB7" s="24">
        <f>IFERROR(VLOOKUP(B7,'Previous Dashboard'!B:CR,51,FALSE),0)</f>
        <v>0.5714285714285714</v>
      </c>
      <c r="BC7" s="43">
        <f>IFERROR(VLOOKUP(VLOOKUP($B7,'Pulse Mapping'!$A:$C,3,FALSE),'Pulse Survey'!$A:$J,'Pulse Survey'!H$1,FALSE),0)</f>
        <v>0.45161290322580644</v>
      </c>
      <c r="BD7" s="63" cm="1">
        <f t="array" ref="BD7">_xlfn.IFS(BC7 = "-",0,BC7 &gt;=Benchmark!AB$4,1,BC7&lt;Benchmark!AB$4,0)</f>
        <v>0</v>
      </c>
      <c r="BE7" s="24">
        <f>IFERROR(VLOOKUP(B7,'Previous Dashboard'!B:CR,54,FALSE),0)</f>
        <v>0.5714285714285714</v>
      </c>
      <c r="BF7" s="43">
        <f>IFERROR(VLOOKUP(VLOOKUP($B7,'Pulse Mapping'!$A:$C,3,FALSE),'Pulse Survey'!$A:$J,'Pulse Survey'!I$1,FALSE),0)</f>
        <v>0.54838709677419351</v>
      </c>
      <c r="BG7" s="63" cm="1">
        <f t="array" ref="BG7">_xlfn.IFS(BF7 = "-",0,BF7 &gt;=Benchmark!AD$4,1,BF7&lt;Benchmark!AD$4,0)</f>
        <v>0</v>
      </c>
      <c r="BH7" s="91">
        <f>IFERROR(VLOOKUP(B7,'Previous Dashboard'!B:CR,57,FALSE),0)</f>
        <v>0.66666666666666663</v>
      </c>
      <c r="BI7" s="44">
        <f>IFERROR(VLOOKUP(VLOOKUP($B7,'Pulse Mapping'!$A:$C,3,FALSE),'Pulse Survey'!$A:$J,'Pulse Survey'!J$1,FALSE),0)</f>
        <v>0.54838709677419351</v>
      </c>
      <c r="BJ7" s="63" cm="1">
        <f t="array" ref="BJ7">_xlfn.IFS(BI7 = "-",0,BI7 &gt;=Benchmark!AF$4,1,BI7&lt;Benchmark!AF$4,0)</f>
        <v>0</v>
      </c>
      <c r="BK7" s="145">
        <f>IFERROR(VLOOKUP(B7,'Previous Dashboard'!B:CR,60,FALSE),0)</f>
        <v>0.61904761904761907</v>
      </c>
      <c r="BL7" s="224">
        <f t="shared" si="4"/>
        <v>0</v>
      </c>
      <c r="BM7" s="325">
        <f>IFERROR(VLOOKUP(B7,'Previous Dashboard'!B:CR,63,FALSE),0)</f>
        <v>1</v>
      </c>
      <c r="BN7" s="285">
        <f t="shared" si="5"/>
        <v>1</v>
      </c>
      <c r="BO7" s="190">
        <f>IFERROR(VLOOKUP(B7,'Previous Dashboard'!B:CR,65,FALSE),0)</f>
        <v>2</v>
      </c>
      <c r="BP7" s="25">
        <f>IFERROR(VLOOKUP(B7,'Previous Dashboard'!B:CR,66,FALSE),0)</f>
        <v>1</v>
      </c>
      <c r="BQ7" s="288">
        <f>IFERROR(VLOOKUP(B7,'Previous Dashboard'!B:CR,67,FALSE),0)</f>
        <v>1</v>
      </c>
      <c r="BR7" s="99"/>
      <c r="BS7" s="403">
        <f>IFERROR(VLOOKUP(B7,'Staff Survey'!B:L,3,FALSE),"-")</f>
        <v>7.4</v>
      </c>
      <c r="BT7" s="401" t="s">
        <v>389</v>
      </c>
      <c r="BU7" s="136">
        <f>IFERROR(VLOOKUP(B7,'Staff Survey'!B:L,4,FALSE),"-")</f>
        <v>6</v>
      </c>
      <c r="BV7" s="399" t="s">
        <v>389</v>
      </c>
      <c r="BW7" s="403">
        <f>IFERROR(VLOOKUP(B7,'Staff Survey'!B:L,5,FALSE),"-")</f>
        <v>6.7</v>
      </c>
      <c r="BX7" s="402" t="s">
        <v>389</v>
      </c>
      <c r="BY7" s="403">
        <f>IFERROR(VLOOKUP(B7,'Staff Survey'!B:L,6,FALSE),"-")</f>
        <v>5.4</v>
      </c>
      <c r="BZ7" s="402" t="s">
        <v>389</v>
      </c>
      <c r="CA7" s="403">
        <f>IFERROR(VLOOKUP(B7,'Staff Survey'!B:L,7,FALSE),"-")</f>
        <v>5.6</v>
      </c>
      <c r="CB7" s="428" t="s">
        <v>389</v>
      </c>
      <c r="CC7" s="403">
        <f>IFERROR(VLOOKUP(B7,'Staff Survey'!B:L,8,FALSE),"-")</f>
        <v>5.8</v>
      </c>
      <c r="CD7" s="428" t="s">
        <v>389</v>
      </c>
      <c r="CE7" s="403">
        <f>IFERROR(VLOOKUP(B7,'Staff Survey'!B:L,9,FALSE),"-")</f>
        <v>7</v>
      </c>
      <c r="CF7" s="428" t="s">
        <v>389</v>
      </c>
      <c r="CG7" s="403">
        <f>IFERROR(VLOOKUP(B7,'Staff Survey'!B:L,10,FALSE),"-")</f>
        <v>6.7</v>
      </c>
      <c r="CH7" s="277">
        <v>6.8</v>
      </c>
      <c r="CI7" s="412">
        <f>IFERROR(VLOOKUP(B7,'Staff Survey'!B:L,11,FALSE),"-")</f>
        <v>5.4</v>
      </c>
      <c r="CJ7" s="111">
        <v>6</v>
      </c>
      <c r="CL7" s="119">
        <f>IFERROR(VLOOKUP(B7,'LfE . HR Ops . F2SU'!A:B,2,FALSE),0)</f>
        <v>20</v>
      </c>
      <c r="CM7" s="119">
        <f>IFERROR(VLOOKUP(B7,'Previous Dashboard'!B:CR,89,FALSE),0)</f>
        <v>16</v>
      </c>
      <c r="CN7" s="124"/>
      <c r="CO7" s="125"/>
      <c r="CP7" s="126"/>
      <c r="CQ7" s="126"/>
    </row>
    <row r="8" spans="1:95" x14ac:dyDescent="0.25">
      <c r="A8" s="651"/>
      <c r="B8" s="543" t="s">
        <v>25</v>
      </c>
      <c r="C8" s="310">
        <f>IFERROR(VLOOKUP(B8,'Staff In Post'!A:C,3,FALSE),0)</f>
        <v>58</v>
      </c>
      <c r="D8" s="246">
        <f>IFERROR(VLOOKUP(B8,'Mandatory Training'!A:C,3,FALSE),0)</f>
        <v>0.8125</v>
      </c>
      <c r="E8" s="24">
        <f>IFERROR(VLOOKUP(B8,'Previous Dashboard'!B:CR,3,FALSE),0)</f>
        <v>0.625</v>
      </c>
      <c r="F8" s="63">
        <f>IF(D8&gt;=Benchmark!C$4,1,0)</f>
        <v>0</v>
      </c>
      <c r="G8" s="17">
        <f>IFERROR(VLOOKUP(B8,Appraisals!A:C,3,FALSE),0)</f>
        <v>0.93939393939393945</v>
      </c>
      <c r="H8" s="24">
        <f>IFERROR(VLOOKUP(B8,'Previous Dashboard'!B:CR,6,FALSE),0)</f>
        <v>0.93548387096774188</v>
      </c>
      <c r="I8" s="63">
        <f>IF(G8&gt;=Benchmark!E$4,1,0)</f>
        <v>1</v>
      </c>
      <c r="J8" s="59">
        <f t="shared" si="0"/>
        <v>0.87594696969696972</v>
      </c>
      <c r="K8" s="91">
        <f t="shared" si="1"/>
        <v>0.780241935483871</v>
      </c>
      <c r="L8" s="63">
        <f>IF(J8&gt;=Benchmark!G$4,1,0)</f>
        <v>0</v>
      </c>
      <c r="M8" s="51">
        <f>IFERROR(VLOOKUP(B8,Stress!A:D,4,FALSE),"-")</f>
        <v>1.6528682898990201E-2</v>
      </c>
      <c r="N8" s="60">
        <f>IFERROR(VLOOKUP(B8,'Previous Dashboard'!B:CR,12,FALSE),0)</f>
        <v>2.64889735016277E-2</v>
      </c>
      <c r="O8" s="52">
        <f>IFERROR(VLOOKUP(B8,'Musculo Skeletal'!A:D,4,FALSE),"-")</f>
        <v>0</v>
      </c>
      <c r="P8" s="43">
        <f>IFERROR(VLOOKUP(B8,'Previous Dashboard'!B:CR,14,FALSE),0)</f>
        <v>9.5249814820667802E-5</v>
      </c>
      <c r="Q8" s="52">
        <f>IFERROR(VLOOKUP(B8,'All Sickness'!A:D,4,FALSE),"-")</f>
        <v>4.3716848420029902E-2</v>
      </c>
      <c r="R8" s="43">
        <f>IFERROR(VLOOKUP(B8,'Previous Dashboard'!B:CR,16,FALSE),0)</f>
        <v>5.4482889314931303E-2</v>
      </c>
      <c r="S8" s="63">
        <f>IF(Q8&lt;=Benchmark!K$4,1,0)</f>
        <v>0</v>
      </c>
      <c r="T8" s="44">
        <f>IFERROR(VLOOKUP(B8,LT.ST!A:C,3,FALSE),"-")</f>
        <v>2.3379386995282098E-2</v>
      </c>
      <c r="U8" s="43">
        <f>IFERROR(VLOOKUP(B8,'Previous Dashboard'!B:CR,19,FALSE),0)</f>
        <v>2.1669332871701901E-2</v>
      </c>
      <c r="V8" s="42">
        <f>IFERROR(VLOOKUP(B8,Turnover!A:C,2,FALSE),0)</f>
        <v>4.4444444444444398E-2</v>
      </c>
      <c r="W8" s="60">
        <f>IFERROR(VLOOKUP(B8,'Previous Dashboard'!B:CR,21,FALSE),0)</f>
        <v>4.4444444444444398E-2</v>
      </c>
      <c r="X8" s="63">
        <f>IF(V8&lt;=Benchmark!N$4,1,0)</f>
        <v>1</v>
      </c>
      <c r="Y8" s="159">
        <f>IFERROR(VLOOKUP(B8,Leavers!A:I,6,FALSE),0)</f>
        <v>2</v>
      </c>
      <c r="Z8" s="247">
        <f t="shared" si="2"/>
        <v>1</v>
      </c>
      <c r="AA8" s="298">
        <f>IFERROR(VLOOKUP(B8,'Previous Dashboard'!B:CR,25,FALSE),0)</f>
        <v>1</v>
      </c>
      <c r="AB8" s="188">
        <f>IFERROR(VLOOKUP(VLOOKUP($B8,'Pulse Mapping'!$A:$C,3,FALSE),'Pulse Survey'!$A:$J,2,FALSE),0)</f>
        <v>7</v>
      </c>
      <c r="AC8" s="25">
        <f>IFERROR(VLOOKUP(B8,'Previous Dashboard'!B:CR,27,FALSE),0)</f>
        <v>7</v>
      </c>
      <c r="AD8" s="362">
        <f t="shared" si="3"/>
        <v>0.1206896551724138</v>
      </c>
      <c r="AE8" s="408">
        <f>IFERROR(VLOOKUP(B8,'Staff Engagement'!A:E,5,FALSE),0)</f>
        <v>6.5476190476190474</v>
      </c>
      <c r="AF8" s="409">
        <f>IFERROR(VLOOKUP(B8,'Previous Dashboard'!B:CQ,30,FALSE),0)</f>
        <v>6.825396825396826</v>
      </c>
      <c r="AG8" s="112">
        <f>IFERROR(VLOOKUP(B8,'Staff Engagement'!A:E,2,FALSE),0)</f>
        <v>5.9523809523809526</v>
      </c>
      <c r="AH8" s="409">
        <f>IFERROR(VLOOKUP(B8,'Previous Dashboard'!B:CQ,32,FALSE),0)</f>
        <v>6.3095238095238093</v>
      </c>
      <c r="AI8" s="110">
        <f>IFERROR(VLOOKUP(B8,'Staff Engagement'!A:E,3,FALSE),0)</f>
        <v>6.9047619047619051</v>
      </c>
      <c r="AJ8" s="409">
        <f>IFERROR(VLOOKUP(B8,'Previous Dashboard'!B:CQ,34,FALSE),0)</f>
        <v>6.5476190476190474</v>
      </c>
      <c r="AK8" s="112">
        <f>IFERROR(VLOOKUP(B8,'Staff Engagement'!A:E,4,FALSE),0)</f>
        <v>6.7857142857142856</v>
      </c>
      <c r="AL8" s="271">
        <f>IFERROR(VLOOKUP(B8,'Previous Dashboard'!B:CQ,36,FALSE),0)</f>
        <v>7.6190476190476186</v>
      </c>
      <c r="AM8" s="386">
        <f>IFERROR(VLOOKUP(B8,'Patient Experience'!A:K,9,FALSE),0)</f>
        <v>1</v>
      </c>
      <c r="AN8" s="60">
        <f>IFERROR(VLOOKUP(VLOOKUP($B8,'Pulse Mapping'!$A:$C,3,FALSE),'Pulse Survey'!$A:$J,'Pulse Survey'!C$1,FALSE),0)</f>
        <v>0.42857142857142855</v>
      </c>
      <c r="AO8" s="63" cm="1">
        <f t="array" ref="AO8">_xlfn.IFS(AN8 = "-",0,AN8 &gt;=Benchmark!R$4,1,AN8&lt;Benchmark!R$4,0)</f>
        <v>0</v>
      </c>
      <c r="AP8" s="43">
        <f>IFERROR(VLOOKUP(B8,'Previous Dashboard'!B:CR,39,FALSE),0)</f>
        <v>0.5714285714285714</v>
      </c>
      <c r="AQ8" s="43">
        <f>IFERROR(VLOOKUP(VLOOKUP($B8,'Pulse Mapping'!$A:$C,3,FALSE),'Pulse Survey'!$A:$J,'Pulse Survey'!D$1,FALSE),0)</f>
        <v>0.71428571428571419</v>
      </c>
      <c r="AR8" s="63" cm="1">
        <f t="array" ref="AR8">_xlfn.IFS(AQ8 = "-",0,AQ8 &gt;=Benchmark!T$4,1,AQ8&lt;Benchmark!T$4,0)</f>
        <v>1</v>
      </c>
      <c r="AS8" s="24">
        <f>IFERROR(VLOOKUP(B8,'Previous Dashboard'!B:CR,42,FALSE),0)</f>
        <v>0.5714285714285714</v>
      </c>
      <c r="AT8" s="43">
        <f>IFERROR(VLOOKUP(VLOOKUP($B8,'Pulse Mapping'!$A:$C,3,FALSE),'Pulse Survey'!$A:$J,'Pulse Survey'!E$1,FALSE),0)</f>
        <v>0.2857142857142857</v>
      </c>
      <c r="AU8" s="63" cm="1">
        <f t="array" ref="AU8">_xlfn.IFS(AT8 = "-",0,AT8 &gt;=Benchmark!V$4,1,AT8&lt;Benchmark!V$4,0)</f>
        <v>0</v>
      </c>
      <c r="AV8" s="24">
        <f>IFERROR(VLOOKUP(B8,'Previous Dashboard'!B:CR,45,FALSE),0)</f>
        <v>0.2857142857142857</v>
      </c>
      <c r="AW8" s="43">
        <f>IFERROR(VLOOKUP(VLOOKUP($B8,'Pulse Mapping'!$A:$C,3,FALSE),'Pulse Survey'!$A:$J,'Pulse Survey'!F$1,FALSE),0)</f>
        <v>0.71428571428571419</v>
      </c>
      <c r="AX8" s="63" cm="1">
        <f t="array" ref="AX8">_xlfn.IFS(AW8 = "-",0,AW8 &gt;=Benchmark!X$4,1,AW8&lt;Benchmark!X$4,0)</f>
        <v>1</v>
      </c>
      <c r="AY8" s="24">
        <f>IFERROR(VLOOKUP(B8,'Previous Dashboard'!B:CR,48,FALSE),0)</f>
        <v>0.71428571428571419</v>
      </c>
      <c r="AZ8" s="43">
        <f>IFERROR(VLOOKUP(VLOOKUP($B8,'Pulse Mapping'!$A:$C,3,FALSE),'Pulse Survey'!$A:$J,'Pulse Survey'!G$1,FALSE),0)</f>
        <v>0.5714285714285714</v>
      </c>
      <c r="BA8" s="63" cm="1">
        <f t="array" ref="BA8">_xlfn.IFS(AZ8 = "-",0,AZ8 &gt;=Benchmark!Z$4,1,AZ8&lt;Benchmark!Z$4,0)</f>
        <v>0</v>
      </c>
      <c r="BB8" s="24">
        <f>IFERROR(VLOOKUP(B8,'Previous Dashboard'!B:CR,51,FALSE),0)</f>
        <v>0.42857142857142855</v>
      </c>
      <c r="BC8" s="43">
        <f>IFERROR(VLOOKUP(VLOOKUP($B8,'Pulse Mapping'!$A:$C,3,FALSE),'Pulse Survey'!$A:$J,'Pulse Survey'!H$1,FALSE),0)</f>
        <v>0.5714285714285714</v>
      </c>
      <c r="BD8" s="63" cm="1">
        <f t="array" ref="BD8">_xlfn.IFS(BC8 = "-",0,BC8 &gt;=Benchmark!AB$4,1,BC8&lt;Benchmark!AB$4,0)</f>
        <v>0</v>
      </c>
      <c r="BE8" s="24">
        <f>IFERROR(VLOOKUP(B8,'Previous Dashboard'!B:CR,54,FALSE),0)</f>
        <v>0.71428571428571419</v>
      </c>
      <c r="BF8" s="43">
        <f>IFERROR(VLOOKUP(VLOOKUP($B8,'Pulse Mapping'!$A:$C,3,FALSE),'Pulse Survey'!$A:$J,'Pulse Survey'!I$1,FALSE),0)</f>
        <v>0.71428571428571419</v>
      </c>
      <c r="BG8" s="63" cm="1">
        <f t="array" ref="BG8">_xlfn.IFS(BF8 = "-",0,BF8 &gt;=Benchmark!AD$4,1,BF8&lt;Benchmark!AD$4,0)</f>
        <v>1</v>
      </c>
      <c r="BH8" s="91">
        <f>IFERROR(VLOOKUP(B8,'Previous Dashboard'!B:CR,57,FALSE),0)</f>
        <v>0.71428571428571419</v>
      </c>
      <c r="BI8" s="44">
        <f>IFERROR(VLOOKUP(VLOOKUP($B8,'Pulse Mapping'!$A:$C,3,FALSE),'Pulse Survey'!$A:$J,'Pulse Survey'!J$1,FALSE),0)</f>
        <v>0.5714285714285714</v>
      </c>
      <c r="BJ8" s="63" cm="1">
        <f t="array" ref="BJ8">_xlfn.IFS(BI8 = "-",0,BI8 &gt;=Benchmark!AF$4,1,BI8&lt;Benchmark!AF$4,0)</f>
        <v>0</v>
      </c>
      <c r="BK8" s="145">
        <f>IFERROR(VLOOKUP(B8,'Previous Dashboard'!B:CR,60,FALSE),0)</f>
        <v>0.5714285714285714</v>
      </c>
      <c r="BL8" s="224">
        <f t="shared" si="4"/>
        <v>3</v>
      </c>
      <c r="BM8" s="325">
        <f>IFERROR(VLOOKUP(B8,'Previous Dashboard'!B:CR,63,FALSE),0)</f>
        <v>3</v>
      </c>
      <c r="BN8" s="285">
        <f t="shared" si="5"/>
        <v>4</v>
      </c>
      <c r="BO8" s="190">
        <f>IFERROR(VLOOKUP(B8,'Previous Dashboard'!B:CR,65,FALSE),0)</f>
        <v>4</v>
      </c>
      <c r="BP8" s="25">
        <f>IFERROR(VLOOKUP(B8,'Previous Dashboard'!B:CR,66,FALSE),0)</f>
        <v>1</v>
      </c>
      <c r="BQ8" s="288">
        <f>IFERROR(VLOOKUP(B8,'Previous Dashboard'!B:CR,67,FALSE),0)</f>
        <v>2</v>
      </c>
      <c r="BR8" s="99"/>
      <c r="BS8" s="403">
        <f>IFERROR(VLOOKUP(B8,'Staff Survey'!B:L,3,FALSE),"-")</f>
        <v>6.6</v>
      </c>
      <c r="BT8" s="401" t="s">
        <v>389</v>
      </c>
      <c r="BU8" s="136">
        <f>IFERROR(VLOOKUP(B8,'Staff Survey'!B:L,4,FALSE),"-")</f>
        <v>5.2</v>
      </c>
      <c r="BV8" s="399" t="s">
        <v>389</v>
      </c>
      <c r="BW8" s="403">
        <f>IFERROR(VLOOKUP(B8,'Staff Survey'!B:L,5,FALSE),"-")</f>
        <v>6.1</v>
      </c>
      <c r="BX8" s="402" t="s">
        <v>389</v>
      </c>
      <c r="BY8" s="403">
        <f>IFERROR(VLOOKUP(B8,'Staff Survey'!B:L,6,FALSE),"-")</f>
        <v>4.9000000000000004</v>
      </c>
      <c r="BZ8" s="402" t="s">
        <v>389</v>
      </c>
      <c r="CA8" s="403">
        <f>IFERROR(VLOOKUP(B8,'Staff Survey'!B:L,7,FALSE),"-")</f>
        <v>5.0999999999999996</v>
      </c>
      <c r="CB8" s="428" t="s">
        <v>389</v>
      </c>
      <c r="CC8" s="403">
        <f>IFERROR(VLOOKUP(B8,'Staff Survey'!B:L,8,FALSE),"-")</f>
        <v>5.5</v>
      </c>
      <c r="CD8" s="428" t="s">
        <v>389</v>
      </c>
      <c r="CE8" s="403">
        <f>IFERROR(VLOOKUP(B8,'Staff Survey'!B:L,9,FALSE),"-")</f>
        <v>6</v>
      </c>
      <c r="CF8" s="428" t="s">
        <v>389</v>
      </c>
      <c r="CG8" s="403">
        <f>IFERROR(VLOOKUP(B8,'Staff Survey'!B:L,10,FALSE),"-")</f>
        <v>6.2</v>
      </c>
      <c r="CH8" s="409">
        <v>7</v>
      </c>
      <c r="CI8" s="412">
        <f>IFERROR(VLOOKUP(B8,'Staff Survey'!B:L,11,FALSE),"-")</f>
        <v>5.0999999999999996</v>
      </c>
      <c r="CJ8" s="271">
        <v>6</v>
      </c>
      <c r="CL8" s="119">
        <f>IFERROR(VLOOKUP(B8,'LfE . HR Ops . F2SU'!A:B,2,FALSE),0)</f>
        <v>4</v>
      </c>
      <c r="CM8" s="119">
        <f>IFERROR(VLOOKUP(B8,'Previous Dashboard'!B:CR,89,FALSE),0)</f>
        <v>5</v>
      </c>
      <c r="CN8" s="124"/>
      <c r="CO8" s="125"/>
      <c r="CP8" s="126"/>
      <c r="CQ8" s="126"/>
    </row>
    <row r="9" spans="1:95" x14ac:dyDescent="0.25">
      <c r="A9" s="651"/>
      <c r="B9" s="543" t="s">
        <v>26</v>
      </c>
      <c r="C9" s="310">
        <f>IFERROR(VLOOKUP(B9,'Staff In Post'!A:C,3,FALSE),0)</f>
        <v>367</v>
      </c>
      <c r="D9" s="246">
        <f>IFERROR(VLOOKUP(B9,'Mandatory Training'!A:C,3,FALSE),0)</f>
        <v>0.44107744107744107</v>
      </c>
      <c r="E9" s="24">
        <f>IFERROR(VLOOKUP(B9,'Previous Dashboard'!B:CR,3,FALSE),0)</f>
        <v>0.39802631578947367</v>
      </c>
      <c r="F9" s="63">
        <f>IF(D9&gt;=Benchmark!C$4,1,0)</f>
        <v>0</v>
      </c>
      <c r="G9" s="17">
        <f>IFERROR(VLOOKUP(B9,Appraisals!A:C,3,FALSE),0)</f>
        <v>0.86936936936936937</v>
      </c>
      <c r="H9" s="24">
        <f>IFERROR(VLOOKUP(B9,'Previous Dashboard'!B:CR,6,FALSE),0)</f>
        <v>0.61467889908256879</v>
      </c>
      <c r="I9" s="63">
        <f>IF(G9&gt;=Benchmark!E$4,1,0)</f>
        <v>0</v>
      </c>
      <c r="J9" s="59">
        <f t="shared" si="0"/>
        <v>0.65522340522340516</v>
      </c>
      <c r="K9" s="91">
        <f t="shared" si="1"/>
        <v>0.50635260743602117</v>
      </c>
      <c r="L9" s="63">
        <f>IF(J9&gt;=Benchmark!G$4,1,0)</f>
        <v>0</v>
      </c>
      <c r="M9" s="51">
        <f>IFERROR(VLOOKUP(B9,Stress!A:D,4,FALSE),"-")</f>
        <v>2.3054536874019701E-2</v>
      </c>
      <c r="N9" s="60">
        <f>IFERROR(VLOOKUP(B9,'Previous Dashboard'!B:CR,12,FALSE),0)</f>
        <v>1.5426540878286901E-2</v>
      </c>
      <c r="O9" s="52">
        <f>IFERROR(VLOOKUP(B9,'Musculo Skeletal'!A:D,4,FALSE),"-")</f>
        <v>6.0093065787194099E-3</v>
      </c>
      <c r="P9" s="43">
        <f>IFERROR(VLOOKUP(B9,'Previous Dashboard'!B:CR,14,FALSE),0)</f>
        <v>7.8288271402751596E-3</v>
      </c>
      <c r="Q9" s="52">
        <f>IFERROR(VLOOKUP(B9,'All Sickness'!A:D,4,FALSE),"-")</f>
        <v>7.2838260790115197E-2</v>
      </c>
      <c r="R9" s="43">
        <f>IFERROR(VLOOKUP(B9,'Previous Dashboard'!B:CR,16,FALSE),0)</f>
        <v>6.5505185514448699E-2</v>
      </c>
      <c r="S9" s="63">
        <f>IF(Q9&lt;=Benchmark!K$4,1,0)</f>
        <v>0</v>
      </c>
      <c r="T9" s="44">
        <f>IFERROR(VLOOKUP(B9,LT.ST!A:C,3,FALSE),"-")</f>
        <v>3.4762155624961801E-2</v>
      </c>
      <c r="U9" s="43">
        <f>IFERROR(VLOOKUP(B9,'Previous Dashboard'!B:CR,19,FALSE),0)</f>
        <v>2.4976408568236002E-2</v>
      </c>
      <c r="V9" s="42">
        <f>IFERROR(VLOOKUP(B9,Turnover!A:C,2,FALSE),0)</f>
        <v>3.8338658146964903E-2</v>
      </c>
      <c r="W9" s="60">
        <f>IFERROR(VLOOKUP(B9,'Previous Dashboard'!B:CR,21,FALSE),0)</f>
        <v>4.3478260869565202E-2</v>
      </c>
      <c r="X9" s="63">
        <f>IF(V9&lt;=Benchmark!N$4,1,0)</f>
        <v>1</v>
      </c>
      <c r="Y9" s="159">
        <f>IFERROR(VLOOKUP(B9,Leavers!A:I,6,FALSE),0)</f>
        <v>12</v>
      </c>
      <c r="Z9" s="247">
        <f t="shared" si="2"/>
        <v>1</v>
      </c>
      <c r="AA9" s="298">
        <f>IFERROR(VLOOKUP(B9,'Previous Dashboard'!B:CR,25,FALSE),0)</f>
        <v>1</v>
      </c>
      <c r="AB9" s="188">
        <f>IFERROR(VLOOKUP(VLOOKUP($B9,'Pulse Mapping'!$A:$C,3,FALSE),'Pulse Survey'!$A:$J,2,FALSE),0)</f>
        <v>53</v>
      </c>
      <c r="AC9" s="25">
        <f>IFERROR(VLOOKUP(B9,'Previous Dashboard'!B:CR,27,FALSE),0)</f>
        <v>39</v>
      </c>
      <c r="AD9" s="362">
        <f t="shared" si="3"/>
        <v>0.1444141689373297</v>
      </c>
      <c r="AE9" s="408">
        <f>IFERROR(VLOOKUP(B9,'Staff Engagement'!A:E,5,FALSE),0)</f>
        <v>4.8427672955974854</v>
      </c>
      <c r="AF9" s="409">
        <f>IFERROR(VLOOKUP(B9,'Previous Dashboard'!B:CQ,30,FALSE),0)</f>
        <v>5.9259259259259265</v>
      </c>
      <c r="AG9" s="112">
        <f>IFERROR(VLOOKUP(B9,'Staff Engagement'!A:E,2,FALSE),0)</f>
        <v>4.3081761006289305</v>
      </c>
      <c r="AH9" s="409">
        <f>IFERROR(VLOOKUP(B9,'Previous Dashboard'!B:CQ,32,FALSE),0)</f>
        <v>5.5982905982905979</v>
      </c>
      <c r="AI9" s="110">
        <f>IFERROR(VLOOKUP(B9,'Staff Engagement'!A:E,3,FALSE),0)</f>
        <v>4.5754716981132075</v>
      </c>
      <c r="AJ9" s="409">
        <f>IFERROR(VLOOKUP(B9,'Previous Dashboard'!B:CQ,34,FALSE),0)</f>
        <v>5.4273504273504276</v>
      </c>
      <c r="AK9" s="112">
        <f>IFERROR(VLOOKUP(B9,'Staff Engagement'!A:E,4,FALSE),0)</f>
        <v>5.6446540880503147</v>
      </c>
      <c r="AL9" s="271">
        <f>IFERROR(VLOOKUP(B9,'Previous Dashboard'!B:CQ,36,FALSE),0)</f>
        <v>6.7521367521367521</v>
      </c>
      <c r="AM9" s="386">
        <f>IFERROR(VLOOKUP(B9,'Patient Experience'!A:K,9,FALSE),0)</f>
        <v>0.70787637088733801</v>
      </c>
      <c r="AN9" s="60">
        <f>IFERROR(VLOOKUP(VLOOKUP($B9,'Pulse Mapping'!$A:$C,3,FALSE),'Pulse Survey'!$A:$J,'Pulse Survey'!C$1,FALSE),0)</f>
        <v>0.18867924528301888</v>
      </c>
      <c r="AO9" s="63" cm="1">
        <f t="array" ref="AO9">_xlfn.IFS(AN9 = "-",0,AN9 &gt;=Benchmark!R$4,1,AN9&lt;Benchmark!R$4,0)</f>
        <v>0</v>
      </c>
      <c r="AP9" s="43">
        <f>IFERROR(VLOOKUP(B9,'Previous Dashboard'!B:CR,39,FALSE),0)</f>
        <v>0.4358974358974359</v>
      </c>
      <c r="AQ9" s="43">
        <f>IFERROR(VLOOKUP(VLOOKUP($B9,'Pulse Mapping'!$A:$C,3,FALSE),'Pulse Survey'!$A:$J,'Pulse Survey'!D$1,FALSE),0)</f>
        <v>0.28301886792452829</v>
      </c>
      <c r="AR9" s="63" cm="1">
        <f t="array" ref="AR9">_xlfn.IFS(AQ9 = "-",0,AQ9 &gt;=Benchmark!T$4,1,AQ9&lt;Benchmark!T$4,0)</f>
        <v>0</v>
      </c>
      <c r="AS9" s="24">
        <f>IFERROR(VLOOKUP(B9,'Previous Dashboard'!B:CR,42,FALSE),0)</f>
        <v>0.4358974358974359</v>
      </c>
      <c r="AT9" s="43">
        <f>IFERROR(VLOOKUP(VLOOKUP($B9,'Pulse Mapping'!$A:$C,3,FALSE),'Pulse Survey'!$A:$J,'Pulse Survey'!E$1,FALSE),0)</f>
        <v>0.35849056603773582</v>
      </c>
      <c r="AU9" s="63" cm="1">
        <f t="array" ref="AU9">_xlfn.IFS(AT9 = "-",0,AT9 &gt;=Benchmark!V$4,1,AT9&lt;Benchmark!V$4,0)</f>
        <v>0</v>
      </c>
      <c r="AV9" s="24">
        <f>IFERROR(VLOOKUP(B9,'Previous Dashboard'!B:CR,45,FALSE),0)</f>
        <v>0.33333333333333337</v>
      </c>
      <c r="AW9" s="43">
        <f>IFERROR(VLOOKUP(VLOOKUP($B9,'Pulse Mapping'!$A:$C,3,FALSE),'Pulse Survey'!$A:$J,'Pulse Survey'!F$1,FALSE),0)</f>
        <v>0.49056603773584906</v>
      </c>
      <c r="AX9" s="63" cm="1">
        <f t="array" ref="AX9">_xlfn.IFS(AW9 = "-",0,AW9 &gt;=Benchmark!X$4,1,AW9&lt;Benchmark!X$4,0)</f>
        <v>0</v>
      </c>
      <c r="AY9" s="24">
        <f>IFERROR(VLOOKUP(B9,'Previous Dashboard'!B:CR,48,FALSE),0)</f>
        <v>0.4358974358974359</v>
      </c>
      <c r="AZ9" s="43">
        <f>IFERROR(VLOOKUP(VLOOKUP($B9,'Pulse Mapping'!$A:$C,3,FALSE),'Pulse Survey'!$A:$J,'Pulse Survey'!G$1,FALSE),0)</f>
        <v>0.49056603773584906</v>
      </c>
      <c r="BA9" s="63" cm="1">
        <f t="array" ref="BA9">_xlfn.IFS(AZ9 = "-",0,AZ9 &gt;=Benchmark!Z$4,1,AZ9&lt;Benchmark!Z$4,0)</f>
        <v>0</v>
      </c>
      <c r="BB9" s="24">
        <f>IFERROR(VLOOKUP(B9,'Previous Dashboard'!B:CR,51,FALSE),0)</f>
        <v>0.64102564102564108</v>
      </c>
      <c r="BC9" s="43">
        <f>IFERROR(VLOOKUP(VLOOKUP($B9,'Pulse Mapping'!$A:$C,3,FALSE),'Pulse Survey'!$A:$J,'Pulse Survey'!H$1,FALSE),0)</f>
        <v>0.35849056603773582</v>
      </c>
      <c r="BD9" s="63" cm="1">
        <f t="array" ref="BD9">_xlfn.IFS(BC9 = "-",0,BC9 &gt;=Benchmark!AB$4,1,BC9&lt;Benchmark!AB$4,0)</f>
        <v>0</v>
      </c>
      <c r="BE9" s="24">
        <f>IFERROR(VLOOKUP(B9,'Previous Dashboard'!B:CR,54,FALSE),0)</f>
        <v>0.48717948717948717</v>
      </c>
      <c r="BF9" s="43">
        <f>IFERROR(VLOOKUP(VLOOKUP($B9,'Pulse Mapping'!$A:$C,3,FALSE),'Pulse Survey'!$A:$J,'Pulse Survey'!I$1,FALSE),0)</f>
        <v>0.39622641509433965</v>
      </c>
      <c r="BG9" s="63" cm="1">
        <f t="array" ref="BG9">_xlfn.IFS(BF9 = "-",0,BF9 &gt;=Benchmark!AD$4,1,BF9&lt;Benchmark!AD$4,0)</f>
        <v>0</v>
      </c>
      <c r="BH9" s="91">
        <f>IFERROR(VLOOKUP(B9,'Previous Dashboard'!B:CR,57,FALSE),0)</f>
        <v>0.51282051282051277</v>
      </c>
      <c r="BI9" s="44">
        <f>IFERROR(VLOOKUP(VLOOKUP($B9,'Pulse Mapping'!$A:$C,3,FALSE),'Pulse Survey'!$A:$J,'Pulse Survey'!J$1,FALSE),0)</f>
        <v>0.33962264150943394</v>
      </c>
      <c r="BJ9" s="63" cm="1">
        <f t="array" ref="BJ9">_xlfn.IFS(BI9 = "-",0,BI9 &gt;=Benchmark!AF$4,1,BI9&lt;Benchmark!AF$4,0)</f>
        <v>0</v>
      </c>
      <c r="BK9" s="145">
        <f>IFERROR(VLOOKUP(B9,'Previous Dashboard'!B:CR,60,FALSE),0)</f>
        <v>0.48717948717948717</v>
      </c>
      <c r="BL9" s="224">
        <f t="shared" si="4"/>
        <v>0</v>
      </c>
      <c r="BM9" s="325">
        <f>IFERROR(VLOOKUP(B9,'Previous Dashboard'!B:CR,63,FALSE),0)</f>
        <v>0</v>
      </c>
      <c r="BN9" s="285">
        <f t="shared" si="5"/>
        <v>1</v>
      </c>
      <c r="BO9" s="190">
        <f>IFERROR(VLOOKUP(B9,'Previous Dashboard'!B:CR,65,FALSE),0)</f>
        <v>1</v>
      </c>
      <c r="BP9" s="25">
        <f>IFERROR(VLOOKUP(B9,'Previous Dashboard'!B:CR,66,FALSE),0)</f>
        <v>1</v>
      </c>
      <c r="BQ9" s="288">
        <f>IFERROR(VLOOKUP(B9,'Previous Dashboard'!B:CR,67,FALSE),0)</f>
        <v>1</v>
      </c>
      <c r="BR9" s="99"/>
      <c r="BS9" s="403">
        <f>IFERROR(VLOOKUP(B9,'Staff Survey'!B:L,3,FALSE),"-")</f>
        <v>5.9</v>
      </c>
      <c r="BT9" s="401" t="s">
        <v>389</v>
      </c>
      <c r="BU9" s="136">
        <f>IFERROR(VLOOKUP(B9,'Staff Survey'!B:L,4,FALSE),"-")</f>
        <v>4.5999999999999996</v>
      </c>
      <c r="BV9" s="399" t="s">
        <v>389</v>
      </c>
      <c r="BW9" s="403">
        <f>IFERROR(VLOOKUP(B9,'Staff Survey'!B:L,5,FALSE),"-")</f>
        <v>5.5</v>
      </c>
      <c r="BX9" s="402" t="s">
        <v>389</v>
      </c>
      <c r="BY9" s="403">
        <f>IFERROR(VLOOKUP(B9,'Staff Survey'!B:L,6,FALSE),"-")</f>
        <v>4.2</v>
      </c>
      <c r="BZ9" s="402" t="s">
        <v>389</v>
      </c>
      <c r="CA9" s="403">
        <f>IFERROR(VLOOKUP(B9,'Staff Survey'!B:L,7,FALSE),"-")</f>
        <v>4.3</v>
      </c>
      <c r="CB9" s="428" t="s">
        <v>389</v>
      </c>
      <c r="CC9" s="403">
        <f>IFERROR(VLOOKUP(B9,'Staff Survey'!B:L,8,FALSE),"-")</f>
        <v>4.9000000000000004</v>
      </c>
      <c r="CD9" s="428" t="s">
        <v>389</v>
      </c>
      <c r="CE9" s="403">
        <f>IFERROR(VLOOKUP(B9,'Staff Survey'!B:L,9,FALSE),"-")</f>
        <v>5.3</v>
      </c>
      <c r="CF9" s="428" t="s">
        <v>389</v>
      </c>
      <c r="CG9" s="403">
        <f>IFERROR(VLOOKUP(B9,'Staff Survey'!B:L,10,FALSE),"-")</f>
        <v>5.6</v>
      </c>
      <c r="CH9" s="277">
        <v>7</v>
      </c>
      <c r="CI9" s="412">
        <f>IFERROR(VLOOKUP(B9,'Staff Survey'!B:L,11,FALSE),"-")</f>
        <v>4</v>
      </c>
      <c r="CJ9" s="111">
        <v>6.2</v>
      </c>
      <c r="CL9" s="119">
        <f>IFERROR(VLOOKUP(B9,'LfE . HR Ops . F2SU'!A:B,2,FALSE),0)</f>
        <v>122</v>
      </c>
      <c r="CM9" s="119">
        <f>IFERROR(VLOOKUP(B9,'Previous Dashboard'!B:CR,89,FALSE),0)</f>
        <v>135</v>
      </c>
      <c r="CN9" s="124"/>
      <c r="CO9" s="125"/>
      <c r="CP9" s="126"/>
      <c r="CQ9" s="126"/>
    </row>
    <row r="10" spans="1:95" x14ac:dyDescent="0.25">
      <c r="A10" s="651"/>
      <c r="B10" s="543" t="s">
        <v>27</v>
      </c>
      <c r="C10" s="310">
        <f>IFERROR(VLOOKUP(B10,'Staff In Post'!A:C,3,FALSE),0)</f>
        <v>109</v>
      </c>
      <c r="D10" s="246">
        <f>IFERROR(VLOOKUP(B10,'Mandatory Training'!A:C,3,FALSE),0)</f>
        <v>0.87128712871287128</v>
      </c>
      <c r="E10" s="24">
        <f>IFERROR(VLOOKUP(B10,'Previous Dashboard'!B:CR,3,FALSE),0)</f>
        <v>0.54545454545454541</v>
      </c>
      <c r="F10" s="63">
        <f>IF(D10&gt;=Benchmark!C$4,1,0)</f>
        <v>0</v>
      </c>
      <c r="G10" s="17">
        <f>IFERROR(VLOOKUP(B10,Appraisals!A:C,3,FALSE),0)</f>
        <v>0.97894736842105268</v>
      </c>
      <c r="H10" s="24">
        <f>IFERROR(VLOOKUP(B10,'Previous Dashboard'!B:CR,6,FALSE),0)</f>
        <v>0.94623655913978499</v>
      </c>
      <c r="I10" s="63">
        <f>IF(G10&gt;=Benchmark!E$4,1,0)</f>
        <v>1</v>
      </c>
      <c r="J10" s="59">
        <f t="shared" si="0"/>
        <v>0.92511724856696198</v>
      </c>
      <c r="K10" s="91">
        <f t="shared" si="1"/>
        <v>0.7458455522971652</v>
      </c>
      <c r="L10" s="63">
        <f>IF(J10&gt;=Benchmark!G$4,1,0)</f>
        <v>1</v>
      </c>
      <c r="M10" s="51">
        <f>IFERROR(VLOOKUP(B10,Stress!A:D,4,FALSE),"-")</f>
        <v>1.97020008883395E-2</v>
      </c>
      <c r="N10" s="60">
        <f>IFERROR(VLOOKUP(B10,'Previous Dashboard'!B:CR,12,FALSE),0)</f>
        <v>8.6417633967941897E-3</v>
      </c>
      <c r="O10" s="52">
        <f>IFERROR(VLOOKUP(B10,'Musculo Skeletal'!A:D,4,FALSE),"-")</f>
        <v>1.9651714460705499E-2</v>
      </c>
      <c r="P10" s="43">
        <f>IFERROR(VLOOKUP(B10,'Previous Dashboard'!B:CR,14,FALSE),0)</f>
        <v>1.3178222197780001E-2</v>
      </c>
      <c r="Q10" s="52">
        <f>IFERROR(VLOOKUP(B10,'All Sickness'!A:D,4,FALSE),"-")</f>
        <v>7.5422475469351297E-2</v>
      </c>
      <c r="R10" s="43">
        <f>IFERROR(VLOOKUP(B10,'Previous Dashboard'!B:CR,16,FALSE),0)</f>
        <v>5.2322352737322199E-2</v>
      </c>
      <c r="S10" s="63">
        <f>IF(Q10&lt;=Benchmark!K$4,1,0)</f>
        <v>0</v>
      </c>
      <c r="T10" s="44">
        <f>IFERROR(VLOOKUP(B10,LT.ST!A:C,3,FALSE),"-")</f>
        <v>4.2772734198426601E-2</v>
      </c>
      <c r="U10" s="43">
        <f>IFERROR(VLOOKUP(B10,'Previous Dashboard'!B:CR,19,FALSE),0)</f>
        <v>1.97402319559195E-2</v>
      </c>
      <c r="V10" s="42">
        <f>IFERROR(VLOOKUP(B10,Turnover!A:C,2,FALSE),0)</f>
        <v>9.0909090909090905E-3</v>
      </c>
      <c r="W10" s="60">
        <f>IFERROR(VLOOKUP(B10,'Previous Dashboard'!B:CR,21,FALSE),0)</f>
        <v>0</v>
      </c>
      <c r="X10" s="63">
        <f>IF(V10&lt;=Benchmark!N$4,1,0)</f>
        <v>1</v>
      </c>
      <c r="Y10" s="159">
        <f>IFERROR(VLOOKUP(B10,Leavers!A:I,6,FALSE),0)</f>
        <v>1</v>
      </c>
      <c r="Z10" s="247">
        <f t="shared" si="2"/>
        <v>2</v>
      </c>
      <c r="AA10" s="298">
        <f>IFERROR(VLOOKUP(B10,'Previous Dashboard'!B:CR,25,FALSE),0)</f>
        <v>1</v>
      </c>
      <c r="AB10" s="188">
        <f>IFERROR(VLOOKUP(VLOOKUP($B10,'Pulse Mapping'!$A:$C,3,FALSE),'Pulse Survey'!$A:$J,2,FALSE),0)</f>
        <v>11</v>
      </c>
      <c r="AC10" s="25">
        <f>IFERROR(VLOOKUP(B10,'Previous Dashboard'!B:CR,27,FALSE),0)</f>
        <v>8</v>
      </c>
      <c r="AD10" s="362">
        <f t="shared" si="3"/>
        <v>0.10091743119266056</v>
      </c>
      <c r="AE10" s="408">
        <f>IFERROR(VLOOKUP(B10,'Staff Engagement'!A:E,5,FALSE),0)</f>
        <v>7.5505050505050511</v>
      </c>
      <c r="AF10" s="409">
        <f>IFERROR(VLOOKUP(B10,'Previous Dashboard'!B:CQ,30,FALSE),0)</f>
        <v>8.0208333333333321</v>
      </c>
      <c r="AG10" s="112">
        <f>IFERROR(VLOOKUP(B10,'Staff Engagement'!A:E,2,FALSE),0)</f>
        <v>7.9545454545454541</v>
      </c>
      <c r="AH10" s="409">
        <f>IFERROR(VLOOKUP(B10,'Previous Dashboard'!B:CQ,32,FALSE),0)</f>
        <v>8.6458333333333339</v>
      </c>
      <c r="AI10" s="110">
        <f>IFERROR(VLOOKUP(B10,'Staff Engagement'!A:E,3,FALSE),0)</f>
        <v>7.4242424242424239</v>
      </c>
      <c r="AJ10" s="409">
        <f>IFERROR(VLOOKUP(B10,'Previous Dashboard'!B:CQ,34,FALSE),0)</f>
        <v>7.916666666666667</v>
      </c>
      <c r="AK10" s="112">
        <f>IFERROR(VLOOKUP(B10,'Staff Engagement'!A:E,4,FALSE),0)</f>
        <v>7.2727272727272725</v>
      </c>
      <c r="AL10" s="271">
        <f>IFERROR(VLOOKUP(B10,'Previous Dashboard'!B:CQ,36,FALSE),0)</f>
        <v>7.5</v>
      </c>
      <c r="AM10" s="388"/>
      <c r="AN10" s="60">
        <f>IFERROR(VLOOKUP(VLOOKUP($B10,'Pulse Mapping'!$A:$C,3,FALSE),'Pulse Survey'!$A:$J,'Pulse Survey'!C$1,FALSE),0)</f>
        <v>0.72727272727272729</v>
      </c>
      <c r="AO10" s="63" cm="1">
        <f t="array" ref="AO10">_xlfn.IFS(AN10 = "-",0,AN10 &gt;=Benchmark!R$4,1,AN10&lt;Benchmark!R$4,0)</f>
        <v>1</v>
      </c>
      <c r="AP10" s="43">
        <f>IFERROR(VLOOKUP(B10,'Previous Dashboard'!B:CR,39,FALSE),0)</f>
        <v>0.75</v>
      </c>
      <c r="AQ10" s="43">
        <f>IFERROR(VLOOKUP(VLOOKUP($B10,'Pulse Mapping'!$A:$C,3,FALSE),'Pulse Survey'!$A:$J,'Pulse Survey'!D$1,FALSE),0)</f>
        <v>0.81818181818181812</v>
      </c>
      <c r="AR10" s="63" cm="1">
        <f t="array" ref="AR10">_xlfn.IFS(AQ10 = "-",0,AQ10 &gt;=Benchmark!T$4,1,AQ10&lt;Benchmark!T$4,0)</f>
        <v>1</v>
      </c>
      <c r="AS10" s="24">
        <f>IFERROR(VLOOKUP(B10,'Previous Dashboard'!B:CR,42,FALSE),0)</f>
        <v>1</v>
      </c>
      <c r="AT10" s="43">
        <f>IFERROR(VLOOKUP(VLOOKUP($B10,'Pulse Mapping'!$A:$C,3,FALSE),'Pulse Survey'!$A:$J,'Pulse Survey'!E$1,FALSE),0)</f>
        <v>0.72727272727272729</v>
      </c>
      <c r="AU10" s="63" cm="1">
        <f t="array" ref="AU10">_xlfn.IFS(AT10 = "-",0,AT10 &gt;=Benchmark!V$4,1,AT10&lt;Benchmark!V$4,0)</f>
        <v>1</v>
      </c>
      <c r="AV10" s="24">
        <f>IFERROR(VLOOKUP(B10,'Previous Dashboard'!B:CR,45,FALSE),0)</f>
        <v>0.625</v>
      </c>
      <c r="AW10" s="43">
        <f>IFERROR(VLOOKUP(VLOOKUP($B10,'Pulse Mapping'!$A:$C,3,FALSE),'Pulse Survey'!$A:$J,'Pulse Survey'!F$1,FALSE),0)</f>
        <v>0.54545454545454541</v>
      </c>
      <c r="AX10" s="63" cm="1">
        <f t="array" ref="AX10">_xlfn.IFS(AW10 = "-",0,AW10 &gt;=Benchmark!X$4,1,AW10&lt;Benchmark!X$4,0)</f>
        <v>0</v>
      </c>
      <c r="AY10" s="24">
        <f>IFERROR(VLOOKUP(B10,'Previous Dashboard'!B:CR,48,FALSE),0)</f>
        <v>1</v>
      </c>
      <c r="AZ10" s="43">
        <f>IFERROR(VLOOKUP(VLOOKUP($B10,'Pulse Mapping'!$A:$C,3,FALSE),'Pulse Survey'!$A:$J,'Pulse Survey'!G$1,FALSE),0)</f>
        <v>0.72727272727272729</v>
      </c>
      <c r="BA10" s="63" cm="1">
        <f t="array" ref="BA10">_xlfn.IFS(AZ10 = "-",0,AZ10 &gt;=Benchmark!Z$4,1,AZ10&lt;Benchmark!Z$4,0)</f>
        <v>1</v>
      </c>
      <c r="BB10" s="24">
        <f>IFERROR(VLOOKUP(B10,'Previous Dashboard'!B:CR,51,FALSE),0)</f>
        <v>0.75</v>
      </c>
      <c r="BC10" s="43">
        <f>IFERROR(VLOOKUP(VLOOKUP($B10,'Pulse Mapping'!$A:$C,3,FALSE),'Pulse Survey'!$A:$J,'Pulse Survey'!H$1,FALSE),0)</f>
        <v>0.72727272727272729</v>
      </c>
      <c r="BD10" s="63" cm="1">
        <f t="array" ref="BD10">_xlfn.IFS(BC10 = "-",0,BC10 &gt;=Benchmark!AB$4,1,BC10&lt;Benchmark!AB$4,0)</f>
        <v>1</v>
      </c>
      <c r="BE10" s="24">
        <f>IFERROR(VLOOKUP(B10,'Previous Dashboard'!B:CR,54,FALSE),0)</f>
        <v>1</v>
      </c>
      <c r="BF10" s="43">
        <f>IFERROR(VLOOKUP(VLOOKUP($B10,'Pulse Mapping'!$A:$C,3,FALSE),'Pulse Survey'!$A:$J,'Pulse Survey'!I$1,FALSE),0)</f>
        <v>0.90909090909090906</v>
      </c>
      <c r="BG10" s="63" cm="1">
        <f t="array" ref="BG10">_xlfn.IFS(BF10 = "-",0,BF10 &gt;=Benchmark!AD$4,1,BF10&lt;Benchmark!AD$4,0)</f>
        <v>1</v>
      </c>
      <c r="BH10" s="91">
        <f>IFERROR(VLOOKUP(B10,'Previous Dashboard'!B:CR,57,FALSE),0)</f>
        <v>1</v>
      </c>
      <c r="BI10" s="44">
        <f>IFERROR(VLOOKUP(VLOOKUP($B10,'Pulse Mapping'!$A:$C,3,FALSE),'Pulse Survey'!$A:$J,'Pulse Survey'!J$1,FALSE),0)</f>
        <v>0.63636363636363635</v>
      </c>
      <c r="BJ10" s="63" cm="1">
        <f t="array" ref="BJ10">_xlfn.IFS(BI10 = "-",0,BI10 &gt;=Benchmark!AF$4,1,BI10&lt;Benchmark!AF$4,0)</f>
        <v>0</v>
      </c>
      <c r="BK10" s="145">
        <f>IFERROR(VLOOKUP(B10,'Previous Dashboard'!B:CR,60,FALSE),0)</f>
        <v>0.625</v>
      </c>
      <c r="BL10" s="224">
        <f t="shared" si="4"/>
        <v>6</v>
      </c>
      <c r="BM10" s="325">
        <f>IFERROR(VLOOKUP(B10,'Previous Dashboard'!B:CR,63,FALSE),0)</f>
        <v>6</v>
      </c>
      <c r="BN10" s="285">
        <f t="shared" si="5"/>
        <v>8</v>
      </c>
      <c r="BO10" s="190">
        <f>IFERROR(VLOOKUP(B10,'Previous Dashboard'!B:CR,65,FALSE),0)</f>
        <v>7</v>
      </c>
      <c r="BP10" s="25">
        <f>IFERROR(VLOOKUP(B10,'Previous Dashboard'!B:CR,66,FALSE),0)</f>
        <v>1</v>
      </c>
      <c r="BQ10" s="288">
        <f>IFERROR(VLOOKUP(B10,'Previous Dashboard'!B:CR,67,FALSE),0)</f>
        <v>4</v>
      </c>
      <c r="BR10" s="99"/>
      <c r="BS10" s="403">
        <f>IFERROR(VLOOKUP(B10,'Staff Survey'!B:L,3,FALSE),"-")</f>
        <v>6.9</v>
      </c>
      <c r="BT10" s="401" t="s">
        <v>389</v>
      </c>
      <c r="BU10" s="136">
        <f>IFERROR(VLOOKUP(B10,'Staff Survey'!B:L,4,FALSE),"-")</f>
        <v>5.6</v>
      </c>
      <c r="BV10" s="399" t="s">
        <v>389</v>
      </c>
      <c r="BW10" s="403">
        <f>IFERROR(VLOOKUP(B10,'Staff Survey'!B:L,5,FALSE),"-")</f>
        <v>6.6</v>
      </c>
      <c r="BX10" s="402" t="s">
        <v>389</v>
      </c>
      <c r="BY10" s="403">
        <f>IFERROR(VLOOKUP(B10,'Staff Survey'!B:L,6,FALSE),"-")</f>
        <v>5.3</v>
      </c>
      <c r="BZ10" s="402" t="s">
        <v>389</v>
      </c>
      <c r="CA10" s="403">
        <f>IFERROR(VLOOKUP(B10,'Staff Survey'!B:L,7,FALSE),"-")</f>
        <v>5.4</v>
      </c>
      <c r="CB10" s="428" t="s">
        <v>389</v>
      </c>
      <c r="CC10" s="403">
        <f>IFERROR(VLOOKUP(B10,'Staff Survey'!B:L,8,FALSE),"-")</f>
        <v>5.6</v>
      </c>
      <c r="CD10" s="428" t="s">
        <v>389</v>
      </c>
      <c r="CE10" s="403">
        <f>IFERROR(VLOOKUP(B10,'Staff Survey'!B:L,9,FALSE),"-")</f>
        <v>6.7</v>
      </c>
      <c r="CF10" s="428" t="s">
        <v>389</v>
      </c>
      <c r="CG10" s="403">
        <f>IFERROR(VLOOKUP(B10,'Staff Survey'!B:L,10,FALSE),"-")</f>
        <v>6.6</v>
      </c>
      <c r="CH10" s="277">
        <v>7.3</v>
      </c>
      <c r="CI10" s="412">
        <f>IFERROR(VLOOKUP(B10,'Staff Survey'!B:L,11,FALSE),"-")</f>
        <v>5.4</v>
      </c>
      <c r="CJ10" s="111">
        <v>6.6</v>
      </c>
      <c r="CL10" s="119">
        <f>IFERROR(VLOOKUP(B10,'LfE . HR Ops . F2SU'!A:B,2,FALSE),0)</f>
        <v>18</v>
      </c>
      <c r="CM10" s="119" t="str">
        <f>IFERROR(VLOOKUP(B10,'Previous Dashboard'!B:CR,89,FALSE),0)</f>
        <v>-</v>
      </c>
      <c r="CN10" s="124"/>
      <c r="CO10" s="125"/>
      <c r="CP10" s="126"/>
      <c r="CQ10" s="126"/>
    </row>
    <row r="11" spans="1:95" x14ac:dyDescent="0.25">
      <c r="A11" s="651"/>
      <c r="B11" s="543" t="s">
        <v>28</v>
      </c>
      <c r="C11" s="310">
        <f>IFERROR(VLOOKUP(B11,'Staff In Post'!A:C,3,FALSE),0)</f>
        <v>220</v>
      </c>
      <c r="D11" s="246">
        <f>IFERROR(VLOOKUP(B11,'Mandatory Training'!A:C,3,FALSE),0)</f>
        <v>0.66492146596858637</v>
      </c>
      <c r="E11" s="24">
        <f>IFERROR(VLOOKUP(B11,'Previous Dashboard'!B:CR,3,FALSE),0)</f>
        <v>0.5444444444444444</v>
      </c>
      <c r="F11" s="63">
        <f>IF(D11&gt;=Benchmark!C$4,1,0)</f>
        <v>0</v>
      </c>
      <c r="G11" s="17">
        <f>IFERROR(VLOOKUP(B11,Appraisals!A:C,3,FALSE),0)</f>
        <v>0.82407407407407407</v>
      </c>
      <c r="H11" s="24">
        <f>IFERROR(VLOOKUP(B11,'Previous Dashboard'!B:CR,6,FALSE),0)</f>
        <v>0.86458333333333337</v>
      </c>
      <c r="I11" s="63">
        <f>IF(G11&gt;=Benchmark!E$4,1,0)</f>
        <v>0</v>
      </c>
      <c r="J11" s="59">
        <f t="shared" si="0"/>
        <v>0.74449777002133022</v>
      </c>
      <c r="K11" s="91">
        <f t="shared" si="1"/>
        <v>0.70451388888888888</v>
      </c>
      <c r="L11" s="63">
        <f>IF(J11&gt;=Benchmark!G$4,1,0)</f>
        <v>0</v>
      </c>
      <c r="M11" s="51">
        <f>IFERROR(VLOOKUP(B11,Stress!A:D,4,FALSE),"-")</f>
        <v>1.8388860895072901E-2</v>
      </c>
      <c r="N11" s="60">
        <f>IFERROR(VLOOKUP(B11,'Previous Dashboard'!B:CR,12,FALSE),0)</f>
        <v>2.75954529719276E-2</v>
      </c>
      <c r="O11" s="52">
        <f>IFERROR(VLOOKUP(B11,'Musculo Skeletal'!A:D,4,FALSE),"-")</f>
        <v>1.02939533644058E-2</v>
      </c>
      <c r="P11" s="43">
        <f>IFERROR(VLOOKUP(B11,'Previous Dashboard'!B:CR,14,FALSE),0)</f>
        <v>1.23712352096653E-2</v>
      </c>
      <c r="Q11" s="52">
        <f>IFERROR(VLOOKUP(B11,'All Sickness'!A:D,4,FALSE),"-")</f>
        <v>7.2378101062298306E-2</v>
      </c>
      <c r="R11" s="43">
        <f>IFERROR(VLOOKUP(B11,'Previous Dashboard'!B:CR,16,FALSE),0)</f>
        <v>8.9333612097180104E-2</v>
      </c>
      <c r="S11" s="63">
        <f>IF(Q11&lt;=Benchmark!K$4,1,0)</f>
        <v>0</v>
      </c>
      <c r="T11" s="44">
        <f>IFERROR(VLOOKUP(B11,LT.ST!A:C,3,FALSE),"-")</f>
        <v>2.9830094216944901E-2</v>
      </c>
      <c r="U11" s="43">
        <f>IFERROR(VLOOKUP(B11,'Previous Dashboard'!B:CR,19,FALSE),0)</f>
        <v>4.2431367230966598E-2</v>
      </c>
      <c r="V11" s="42">
        <f>IFERROR(VLOOKUP(B11,Turnover!A:C,2,FALSE),0)</f>
        <v>3.7383177570093497E-2</v>
      </c>
      <c r="W11" s="60">
        <f>IFERROR(VLOOKUP(B11,'Previous Dashboard'!B:CR,21,FALSE),0)</f>
        <v>0.02</v>
      </c>
      <c r="X11" s="63">
        <f>IF(V11&lt;=Benchmark!N$4,1,0)</f>
        <v>1</v>
      </c>
      <c r="Y11" s="159">
        <f>IFERROR(VLOOKUP(B11,Leavers!A:I,6,FALSE),0)</f>
        <v>6</v>
      </c>
      <c r="Z11" s="247">
        <f t="shared" si="2"/>
        <v>1</v>
      </c>
      <c r="AA11" s="298">
        <f>IFERROR(VLOOKUP(B11,'Previous Dashboard'!B:CR,25,FALSE),0)</f>
        <v>1</v>
      </c>
      <c r="AB11" s="188">
        <f>IFERROR(VLOOKUP(VLOOKUP($B11,'Pulse Mapping'!$A:$C,3,FALSE),'Pulse Survey'!$A:$J,2,FALSE),0)</f>
        <v>15</v>
      </c>
      <c r="AC11" s="25">
        <f>IFERROR(VLOOKUP(B11,'Previous Dashboard'!B:CR,27,FALSE),0)</f>
        <v>11</v>
      </c>
      <c r="AD11" s="362">
        <f t="shared" si="3"/>
        <v>6.8181818181818177E-2</v>
      </c>
      <c r="AE11" s="408">
        <f>IFERROR(VLOOKUP(B11,'Staff Engagement'!A:E,5,FALSE),0)</f>
        <v>7.0740740740740753</v>
      </c>
      <c r="AF11" s="409">
        <f>IFERROR(VLOOKUP(B11,'Previous Dashboard'!B:CQ,30,FALSE),0)</f>
        <v>6.8434343434343434</v>
      </c>
      <c r="AG11" s="112">
        <f>IFERROR(VLOOKUP(B11,'Staff Engagement'!A:E,2,FALSE),0)</f>
        <v>6.7222222222222223</v>
      </c>
      <c r="AH11" s="409">
        <f>IFERROR(VLOOKUP(B11,'Previous Dashboard'!B:CQ,32,FALSE),0)</f>
        <v>6.5909090909090908</v>
      </c>
      <c r="AI11" s="110">
        <f>IFERROR(VLOOKUP(B11,'Staff Engagement'!A:E,3,FALSE),0)</f>
        <v>7.2222222222222223</v>
      </c>
      <c r="AJ11" s="409">
        <f>IFERROR(VLOOKUP(B11,'Previous Dashboard'!B:CQ,34,FALSE),0)</f>
        <v>7.0454545454545459</v>
      </c>
      <c r="AK11" s="112">
        <f>IFERROR(VLOOKUP(B11,'Staff Engagement'!A:E,4,FALSE),0)</f>
        <v>7.2777777777777777</v>
      </c>
      <c r="AL11" s="271">
        <f>IFERROR(VLOOKUP(B11,'Previous Dashboard'!B:CQ,36,FALSE),0)</f>
        <v>6.8939393939393936</v>
      </c>
      <c r="AM11" s="386">
        <f>IFERROR(VLOOKUP(B11,'Patient Experience'!A:K,9,FALSE),0)</f>
        <v>0.99386503067484666</v>
      </c>
      <c r="AN11" s="60">
        <f>IFERROR(VLOOKUP(VLOOKUP($B11,'Pulse Mapping'!$A:$C,3,FALSE),'Pulse Survey'!$A:$J,'Pulse Survey'!C$1,FALSE),0)</f>
        <v>0.60000000000000009</v>
      </c>
      <c r="AO11" s="63" cm="1">
        <f t="array" ref="AO11">_xlfn.IFS(AN11 = "-",0,AN11 &gt;=Benchmark!R$4,1,AN11&lt;Benchmark!R$4,0)</f>
        <v>0</v>
      </c>
      <c r="AP11" s="43">
        <f>IFERROR(VLOOKUP(B11,'Previous Dashboard'!B:CR,39,FALSE),0)</f>
        <v>0.54545454545454541</v>
      </c>
      <c r="AQ11" s="43">
        <f>IFERROR(VLOOKUP(VLOOKUP($B11,'Pulse Mapping'!$A:$C,3,FALSE),'Pulse Survey'!$A:$J,'Pulse Survey'!D$1,FALSE),0)</f>
        <v>0.73333333333333339</v>
      </c>
      <c r="AR11" s="63" cm="1">
        <f t="array" ref="AR11">_xlfn.IFS(AQ11 = "-",0,AQ11 &gt;=Benchmark!T$4,1,AQ11&lt;Benchmark!T$4,0)</f>
        <v>1</v>
      </c>
      <c r="AS11" s="24">
        <f>IFERROR(VLOOKUP(B11,'Previous Dashboard'!B:CR,42,FALSE),0)</f>
        <v>0.72727272727272729</v>
      </c>
      <c r="AT11" s="43">
        <f>IFERROR(VLOOKUP(VLOOKUP($B11,'Pulse Mapping'!$A:$C,3,FALSE),'Pulse Survey'!$A:$J,'Pulse Survey'!E$1,FALSE),0)</f>
        <v>0.73333333333333339</v>
      </c>
      <c r="AU11" s="63" cm="1">
        <f t="array" ref="AU11">_xlfn.IFS(AT11 = "-",0,AT11 &gt;=Benchmark!V$4,1,AT11&lt;Benchmark!V$4,0)</f>
        <v>1</v>
      </c>
      <c r="AV11" s="24">
        <f>IFERROR(VLOOKUP(B11,'Previous Dashboard'!B:CR,45,FALSE),0)</f>
        <v>0.45454545454545453</v>
      </c>
      <c r="AW11" s="43">
        <f>IFERROR(VLOOKUP(VLOOKUP($B11,'Pulse Mapping'!$A:$C,3,FALSE),'Pulse Survey'!$A:$J,'Pulse Survey'!F$1,FALSE),0)</f>
        <v>0.66666666666666674</v>
      </c>
      <c r="AX11" s="63" cm="1">
        <f t="array" ref="AX11">_xlfn.IFS(AW11 = "-",0,AW11 &gt;=Benchmark!X$4,1,AW11&lt;Benchmark!X$4,0)</f>
        <v>0</v>
      </c>
      <c r="AY11" s="24">
        <f>IFERROR(VLOOKUP(B11,'Previous Dashboard'!B:CR,48,FALSE),0)</f>
        <v>0.63636363636363635</v>
      </c>
      <c r="AZ11" s="43">
        <f>IFERROR(VLOOKUP(VLOOKUP($B11,'Pulse Mapping'!$A:$C,3,FALSE),'Pulse Survey'!$A:$J,'Pulse Survey'!G$1,FALSE),0)</f>
        <v>0.73333333333333328</v>
      </c>
      <c r="BA11" s="63" cm="1">
        <f t="array" ref="BA11">_xlfn.IFS(AZ11 = "-",0,AZ11 &gt;=Benchmark!Z$4,1,AZ11&lt;Benchmark!Z$4,0)</f>
        <v>1</v>
      </c>
      <c r="BB11" s="24">
        <f>IFERROR(VLOOKUP(B11,'Previous Dashboard'!B:CR,51,FALSE),0)</f>
        <v>0.72727272727272729</v>
      </c>
      <c r="BC11" s="43">
        <f>IFERROR(VLOOKUP(VLOOKUP($B11,'Pulse Mapping'!$A:$C,3,FALSE),'Pulse Survey'!$A:$J,'Pulse Survey'!H$1,FALSE),0)</f>
        <v>0.8</v>
      </c>
      <c r="BD11" s="63" cm="1">
        <f t="array" ref="BD11">_xlfn.IFS(BC11 = "-",0,BC11 &gt;=Benchmark!AB$4,1,BC11&lt;Benchmark!AB$4,0)</f>
        <v>1</v>
      </c>
      <c r="BE11" s="24">
        <f>IFERROR(VLOOKUP(B11,'Previous Dashboard'!B:CR,54,FALSE),0)</f>
        <v>0.63636363636363635</v>
      </c>
      <c r="BF11" s="43">
        <f>IFERROR(VLOOKUP(VLOOKUP($B11,'Pulse Mapping'!$A:$C,3,FALSE),'Pulse Survey'!$A:$J,'Pulse Survey'!I$1,FALSE),0)</f>
        <v>0.8666666666666667</v>
      </c>
      <c r="BG11" s="63" cm="1">
        <f t="array" ref="BG11">_xlfn.IFS(BF11 = "-",0,BF11 &gt;=Benchmark!AD$4,1,BF11&lt;Benchmark!AD$4,0)</f>
        <v>1</v>
      </c>
      <c r="BH11" s="91">
        <f>IFERROR(VLOOKUP(B11,'Previous Dashboard'!B:CR,57,FALSE),0)</f>
        <v>0.54545454545454541</v>
      </c>
      <c r="BI11" s="44">
        <f>IFERROR(VLOOKUP(VLOOKUP($B11,'Pulse Mapping'!$A:$C,3,FALSE),'Pulse Survey'!$A:$J,'Pulse Survey'!J$1,FALSE),0)</f>
        <v>0.53333333333333333</v>
      </c>
      <c r="BJ11" s="63" cm="1">
        <f t="array" ref="BJ11">_xlfn.IFS(BI11 = "-",0,BI11 &gt;=Benchmark!AF$4,1,BI11&lt;Benchmark!AF$4,0)</f>
        <v>0</v>
      </c>
      <c r="BK11" s="145">
        <f>IFERROR(VLOOKUP(B11,'Previous Dashboard'!B:CR,60,FALSE),0)</f>
        <v>0.63636363636363635</v>
      </c>
      <c r="BL11" s="224">
        <f t="shared" si="4"/>
        <v>5</v>
      </c>
      <c r="BM11" s="325">
        <f>IFERROR(VLOOKUP(B11,'Previous Dashboard'!B:CR,63,FALSE),0)</f>
        <v>2</v>
      </c>
      <c r="BN11" s="285">
        <f t="shared" si="5"/>
        <v>6</v>
      </c>
      <c r="BO11" s="190">
        <f>IFERROR(VLOOKUP(B11,'Previous Dashboard'!B:CR,65,FALSE),0)</f>
        <v>3</v>
      </c>
      <c r="BP11" s="25">
        <f>IFERROR(VLOOKUP(B11,'Previous Dashboard'!B:CR,66,FALSE),0)</f>
        <v>1</v>
      </c>
      <c r="BQ11" s="288">
        <f>IFERROR(VLOOKUP(B11,'Previous Dashboard'!B:CR,67,FALSE),0)</f>
        <v>1</v>
      </c>
      <c r="BR11" s="99"/>
      <c r="BS11" s="403">
        <f>IFERROR(VLOOKUP(B11,'Staff Survey'!B:L,3,FALSE),"-")</f>
        <v>6.9</v>
      </c>
      <c r="BT11" s="401" t="s">
        <v>389</v>
      </c>
      <c r="BU11" s="136">
        <f>IFERROR(VLOOKUP(B11,'Staff Survey'!B:L,4,FALSE),"-")</f>
        <v>5.6</v>
      </c>
      <c r="BV11" s="399" t="s">
        <v>389</v>
      </c>
      <c r="BW11" s="403">
        <f>IFERROR(VLOOKUP(B11,'Staff Survey'!B:L,5,FALSE),"-")</f>
        <v>6.6</v>
      </c>
      <c r="BX11" s="402" t="s">
        <v>389</v>
      </c>
      <c r="BY11" s="403">
        <f>IFERROR(VLOOKUP(B11,'Staff Survey'!B:L,6,FALSE),"-")</f>
        <v>5.3</v>
      </c>
      <c r="BZ11" s="402" t="s">
        <v>389</v>
      </c>
      <c r="CA11" s="403">
        <f>IFERROR(VLOOKUP(B11,'Staff Survey'!B:L,7,FALSE),"-")</f>
        <v>5.4</v>
      </c>
      <c r="CB11" s="428" t="s">
        <v>389</v>
      </c>
      <c r="CC11" s="403">
        <f>IFERROR(VLOOKUP(B11,'Staff Survey'!B:L,8,FALSE),"-")</f>
        <v>5.6</v>
      </c>
      <c r="CD11" s="428" t="s">
        <v>389</v>
      </c>
      <c r="CE11" s="403">
        <f>IFERROR(VLOOKUP(B11,'Staff Survey'!B:L,9,FALSE),"-")</f>
        <v>6.7</v>
      </c>
      <c r="CF11" s="428" t="s">
        <v>389</v>
      </c>
      <c r="CG11" s="403">
        <f>IFERROR(VLOOKUP(B11,'Staff Survey'!B:L,10,FALSE),"-")</f>
        <v>6.6</v>
      </c>
      <c r="CH11" s="277">
        <v>7</v>
      </c>
      <c r="CI11" s="412">
        <f>IFERROR(VLOOKUP(B11,'Staff Survey'!B:L,11,FALSE),"-")</f>
        <v>5.4</v>
      </c>
      <c r="CJ11" s="111">
        <v>6</v>
      </c>
      <c r="CL11" s="119">
        <f>IFERROR(VLOOKUP(B11,'LfE . HR Ops . F2SU'!A:B,2,FALSE),0)</f>
        <v>18</v>
      </c>
      <c r="CM11" s="119">
        <f>IFERROR(VLOOKUP(B11,'Previous Dashboard'!B:CR,89,FALSE),0)</f>
        <v>36</v>
      </c>
      <c r="CN11" s="124"/>
      <c r="CO11" s="125"/>
      <c r="CP11" s="126"/>
      <c r="CQ11" s="126"/>
    </row>
    <row r="12" spans="1:95" x14ac:dyDescent="0.25">
      <c r="A12" s="651"/>
      <c r="B12" s="543" t="s">
        <v>29</v>
      </c>
      <c r="C12" s="310">
        <f>IFERROR(VLOOKUP(B12,'Staff In Post'!A:C,3,FALSE),0)</f>
        <v>127</v>
      </c>
      <c r="D12" s="246">
        <f>IFERROR(VLOOKUP(B12,'Mandatory Training'!A:C,3,FALSE),0)</f>
        <v>0.53913043478260869</v>
      </c>
      <c r="E12" s="24">
        <f>IFERROR(VLOOKUP(B12,'Previous Dashboard'!B:CR,3,FALSE),0)</f>
        <v>0.48181818181818181</v>
      </c>
      <c r="F12" s="63">
        <f>IF(D12&gt;=Benchmark!C$4,1,0)</f>
        <v>0</v>
      </c>
      <c r="G12" s="17">
        <f>IFERROR(VLOOKUP(B12,Appraisals!A:C,3,FALSE),0)</f>
        <v>0.78260869565217395</v>
      </c>
      <c r="H12" s="24">
        <f>IFERROR(VLOOKUP(B12,'Previous Dashboard'!B:CR,6,FALSE),0)</f>
        <v>0.8</v>
      </c>
      <c r="I12" s="63">
        <f>IF(G12&gt;=Benchmark!E$4,1,0)</f>
        <v>0</v>
      </c>
      <c r="J12" s="59">
        <f t="shared" si="0"/>
        <v>0.66086956521739126</v>
      </c>
      <c r="K12" s="91">
        <f t="shared" si="1"/>
        <v>0.64090909090909087</v>
      </c>
      <c r="L12" s="63">
        <f>IF(J12&gt;=Benchmark!G$4,1,0)</f>
        <v>0</v>
      </c>
      <c r="M12" s="51">
        <f>IFERROR(VLOOKUP(B12,Stress!A:D,4,FALSE),"-")</f>
        <v>2.1750915930067601E-4</v>
      </c>
      <c r="N12" s="60">
        <f>IFERROR(VLOOKUP(B12,'Previous Dashboard'!B:CR,12,FALSE),0)</f>
        <v>2.5330533977063101E-3</v>
      </c>
      <c r="O12" s="52">
        <f>IFERROR(VLOOKUP(B12,'Musculo Skeletal'!A:D,4,FALSE),"-")</f>
        <v>3.41894163254545E-3</v>
      </c>
      <c r="P12" s="43">
        <f>IFERROR(VLOOKUP(B12,'Previous Dashboard'!B:CR,14,FALSE),0)</f>
        <v>1.28680127223824E-4</v>
      </c>
      <c r="Q12" s="52">
        <f>IFERROR(VLOOKUP(B12,'All Sickness'!A:D,4,FALSE),"-")</f>
        <v>4.0870346725440397E-2</v>
      </c>
      <c r="R12" s="43">
        <f>IFERROR(VLOOKUP(B12,'Previous Dashboard'!B:CR,16,FALSE),0)</f>
        <v>2.22950651745028E-2</v>
      </c>
      <c r="S12" s="63">
        <f>IF(Q12&lt;=Benchmark!K$4,1,0)</f>
        <v>0</v>
      </c>
      <c r="T12" s="44">
        <f>IFERROR(VLOOKUP(B12,LT.ST!A:C,3,FALSE),"-")</f>
        <v>1.1328907309556E-2</v>
      </c>
      <c r="U12" s="43">
        <f>IFERROR(VLOOKUP(B12,'Previous Dashboard'!B:CR,19,FALSE),0)</f>
        <v>3.0351782216719901E-3</v>
      </c>
      <c r="V12" s="42">
        <f>IFERROR(VLOOKUP(B12,Turnover!A:C,2,FALSE),0)</f>
        <v>2.83018867924528E-2</v>
      </c>
      <c r="W12" s="60">
        <f>IFERROR(VLOOKUP(B12,'Previous Dashboard'!B:CR,21,FALSE),0)</f>
        <v>0.03</v>
      </c>
      <c r="X12" s="63">
        <f>IF(V12&lt;=Benchmark!N$4,1,0)</f>
        <v>1</v>
      </c>
      <c r="Y12" s="159">
        <f>IFERROR(VLOOKUP(B12,Leavers!A:I,6,FALSE),0)</f>
        <v>3</v>
      </c>
      <c r="Z12" s="247">
        <f t="shared" si="2"/>
        <v>1</v>
      </c>
      <c r="AA12" s="298">
        <f>IFERROR(VLOOKUP(B12,'Previous Dashboard'!B:CR,25,FALSE),0)</f>
        <v>2</v>
      </c>
      <c r="AB12" s="188">
        <f>IFERROR(VLOOKUP(VLOOKUP($B12,'Pulse Mapping'!$A:$C,3,FALSE),'Pulse Survey'!$A:$J,2,FALSE),0)</f>
        <v>28</v>
      </c>
      <c r="AC12" s="25">
        <f>IFERROR(VLOOKUP(B12,'Previous Dashboard'!B:CR,27,FALSE),0)</f>
        <v>17</v>
      </c>
      <c r="AD12" s="362">
        <f t="shared" si="3"/>
        <v>0.22047244094488189</v>
      </c>
      <c r="AE12" s="408">
        <f>IFERROR(VLOOKUP(B12,'Staff Engagement'!A:E,5,FALSE),0)</f>
        <v>6.3492063492063497</v>
      </c>
      <c r="AF12" s="409">
        <f>IFERROR(VLOOKUP(B12,'Previous Dashboard'!B:CQ,30,FALSE),0)</f>
        <v>7.2058823529411766</v>
      </c>
      <c r="AG12" s="112">
        <f>IFERROR(VLOOKUP(B12,'Staff Engagement'!A:E,2,FALSE),0)</f>
        <v>6.458333333333333</v>
      </c>
      <c r="AH12" s="409">
        <f>IFERROR(VLOOKUP(B12,'Previous Dashboard'!B:CQ,32,FALSE),0)</f>
        <v>7.4019607843137258</v>
      </c>
      <c r="AI12" s="110">
        <f>IFERROR(VLOOKUP(B12,'Staff Engagement'!A:E,3,FALSE),0)</f>
        <v>5.7440476190476186</v>
      </c>
      <c r="AJ12" s="409">
        <f>IFERROR(VLOOKUP(B12,'Previous Dashboard'!B:CQ,34,FALSE),0)</f>
        <v>6.8137254901960782</v>
      </c>
      <c r="AK12" s="112">
        <f>IFERROR(VLOOKUP(B12,'Staff Engagement'!A:E,4,FALSE),0)</f>
        <v>6.8452380952380949</v>
      </c>
      <c r="AL12" s="271">
        <f>IFERROR(VLOOKUP(B12,'Previous Dashboard'!B:CQ,36,FALSE),0)</f>
        <v>7.4019607843137258</v>
      </c>
      <c r="AM12" s="386">
        <f>IFERROR(VLOOKUP(B12,'Patient Experience'!A:K,9,FALSE),0)</f>
        <v>0.98101265822784811</v>
      </c>
      <c r="AN12" s="60">
        <f>IFERROR(VLOOKUP(VLOOKUP($B12,'Pulse Mapping'!$A:$C,3,FALSE),'Pulse Survey'!$A:$J,'Pulse Survey'!C$1,FALSE),0)</f>
        <v>0.6071428571428571</v>
      </c>
      <c r="AO12" s="63" cm="1">
        <f t="array" ref="AO12">_xlfn.IFS(AN12 = "-",0,AN12 &gt;=Benchmark!R$4,1,AN12&lt;Benchmark!R$4,0)</f>
        <v>0</v>
      </c>
      <c r="AP12" s="43">
        <f>IFERROR(VLOOKUP(B12,'Previous Dashboard'!B:CR,39,FALSE),0)</f>
        <v>0.82352941176470584</v>
      </c>
      <c r="AQ12" s="43">
        <f>IFERROR(VLOOKUP(VLOOKUP($B12,'Pulse Mapping'!$A:$C,3,FALSE),'Pulse Survey'!$A:$J,'Pulse Survey'!D$1,FALSE),0)</f>
        <v>0.5714285714285714</v>
      </c>
      <c r="AR12" s="63" cm="1">
        <f t="array" ref="AR12">_xlfn.IFS(AQ12 = "-",0,AQ12 &gt;=Benchmark!T$4,1,AQ12&lt;Benchmark!T$4,0)</f>
        <v>0</v>
      </c>
      <c r="AS12" s="24">
        <f>IFERROR(VLOOKUP(B12,'Previous Dashboard'!B:CR,42,FALSE),0)</f>
        <v>0.58823529411764708</v>
      </c>
      <c r="AT12" s="43">
        <f>IFERROR(VLOOKUP(VLOOKUP($B12,'Pulse Mapping'!$A:$C,3,FALSE),'Pulse Survey'!$A:$J,'Pulse Survey'!E$1,FALSE),0)</f>
        <v>0.6071428571428571</v>
      </c>
      <c r="AU12" s="63" cm="1">
        <f t="array" ref="AU12">_xlfn.IFS(AT12 = "-",0,AT12 &gt;=Benchmark!V$4,1,AT12&lt;Benchmark!V$4,0)</f>
        <v>0</v>
      </c>
      <c r="AV12" s="24">
        <f>IFERROR(VLOOKUP(B12,'Previous Dashboard'!B:CR,45,FALSE),0)</f>
        <v>0.64705882352941169</v>
      </c>
      <c r="AW12" s="43">
        <f>IFERROR(VLOOKUP(VLOOKUP($B12,'Pulse Mapping'!$A:$C,3,FALSE),'Pulse Survey'!$A:$J,'Pulse Survey'!F$1,FALSE),0)</f>
        <v>0.6785714285714286</v>
      </c>
      <c r="AX12" s="63" cm="1">
        <f t="array" ref="AX12">_xlfn.IFS(AW12 = "-",0,AW12 &gt;=Benchmark!X$4,1,AW12&lt;Benchmark!X$4,0)</f>
        <v>1</v>
      </c>
      <c r="AY12" s="24">
        <f>IFERROR(VLOOKUP(B12,'Previous Dashboard'!B:CR,48,FALSE),0)</f>
        <v>0.70588235294117641</v>
      </c>
      <c r="AZ12" s="43">
        <f>IFERROR(VLOOKUP(VLOOKUP($B12,'Pulse Mapping'!$A:$C,3,FALSE),'Pulse Survey'!$A:$J,'Pulse Survey'!G$1,FALSE),0)</f>
        <v>0.85714285714285721</v>
      </c>
      <c r="BA12" s="63" cm="1">
        <f t="array" ref="BA12">_xlfn.IFS(AZ12 = "-",0,AZ12 &gt;=Benchmark!Z$4,1,AZ12&lt;Benchmark!Z$4,0)</f>
        <v>1</v>
      </c>
      <c r="BB12" s="24">
        <f>IFERROR(VLOOKUP(B12,'Previous Dashboard'!B:CR,51,FALSE),0)</f>
        <v>0.82352941176470595</v>
      </c>
      <c r="BC12" s="43">
        <f>IFERROR(VLOOKUP(VLOOKUP($B12,'Pulse Mapping'!$A:$C,3,FALSE),'Pulse Survey'!$A:$J,'Pulse Survey'!H$1,FALSE),0)</f>
        <v>0.6071428571428571</v>
      </c>
      <c r="BD12" s="63" cm="1">
        <f t="array" ref="BD12">_xlfn.IFS(BC12 = "-",0,BC12 &gt;=Benchmark!AB$4,1,BC12&lt;Benchmark!AB$4,0)</f>
        <v>0</v>
      </c>
      <c r="BE12" s="24">
        <f>IFERROR(VLOOKUP(B12,'Previous Dashboard'!B:CR,54,FALSE),0)</f>
        <v>0.70588235294117641</v>
      </c>
      <c r="BF12" s="43">
        <f>IFERROR(VLOOKUP(VLOOKUP($B12,'Pulse Mapping'!$A:$C,3,FALSE),'Pulse Survey'!$A:$J,'Pulse Survey'!I$1,FALSE),0)</f>
        <v>0.64285714285714279</v>
      </c>
      <c r="BG12" s="63" cm="1">
        <f t="array" ref="BG12">_xlfn.IFS(BF12 = "-",0,BF12 &gt;=Benchmark!AD$4,1,BF12&lt;Benchmark!AD$4,0)</f>
        <v>0</v>
      </c>
      <c r="BH12" s="91">
        <f>IFERROR(VLOOKUP(B12,'Previous Dashboard'!B:CR,57,FALSE),0)</f>
        <v>0.70588235294117641</v>
      </c>
      <c r="BI12" s="44">
        <f>IFERROR(VLOOKUP(VLOOKUP($B12,'Pulse Mapping'!$A:$C,3,FALSE),'Pulse Survey'!$A:$J,'Pulse Survey'!J$1,FALSE),0)</f>
        <v>0.5714285714285714</v>
      </c>
      <c r="BJ12" s="63" cm="1">
        <f t="array" ref="BJ12">_xlfn.IFS(BI12 = "-",0,BI12 &gt;=Benchmark!AF$4,1,BI12&lt;Benchmark!AF$4,0)</f>
        <v>0</v>
      </c>
      <c r="BK12" s="145">
        <f>IFERROR(VLOOKUP(B12,'Previous Dashboard'!B:CR,60,FALSE),0)</f>
        <v>0.76470588235294124</v>
      </c>
      <c r="BL12" s="224">
        <f t="shared" si="4"/>
        <v>2</v>
      </c>
      <c r="BM12" s="325">
        <f>IFERROR(VLOOKUP(B12,'Previous Dashboard'!B:CR,63,FALSE),0)</f>
        <v>6</v>
      </c>
      <c r="BN12" s="285">
        <f t="shared" si="5"/>
        <v>3</v>
      </c>
      <c r="BO12" s="190">
        <f>IFERROR(VLOOKUP(B12,'Previous Dashboard'!B:CR,65,FALSE),0)</f>
        <v>8</v>
      </c>
      <c r="BP12" s="25">
        <f>IFERROR(VLOOKUP(B12,'Previous Dashboard'!B:CR,66,FALSE),0)</f>
        <v>1</v>
      </c>
      <c r="BQ12" s="288">
        <f>IFERROR(VLOOKUP(B12,'Previous Dashboard'!B:CR,67,FALSE),0)</f>
        <v>9</v>
      </c>
      <c r="BR12" s="99"/>
      <c r="BS12" s="403">
        <f>IFERROR(VLOOKUP(B12,'Staff Survey'!B:L,3,FALSE),"-")</f>
        <v>7.4</v>
      </c>
      <c r="BT12" s="401" t="s">
        <v>389</v>
      </c>
      <c r="BU12" s="136">
        <f>IFERROR(VLOOKUP(B12,'Staff Survey'!B:L,4,FALSE),"-")</f>
        <v>6.1</v>
      </c>
      <c r="BV12" s="399" t="s">
        <v>389</v>
      </c>
      <c r="BW12" s="403">
        <f>IFERROR(VLOOKUP(B12,'Staff Survey'!B:L,5,FALSE),"-")</f>
        <v>6.8</v>
      </c>
      <c r="BX12" s="402" t="s">
        <v>389</v>
      </c>
      <c r="BY12" s="403">
        <f>IFERROR(VLOOKUP(B12,'Staff Survey'!B:L,6,FALSE),"-")</f>
        <v>5.8</v>
      </c>
      <c r="BZ12" s="402" t="s">
        <v>389</v>
      </c>
      <c r="CA12" s="403">
        <f>IFERROR(VLOOKUP(B12,'Staff Survey'!B:L,7,FALSE),"-")</f>
        <v>5.3</v>
      </c>
      <c r="CB12" s="428" t="s">
        <v>389</v>
      </c>
      <c r="CC12" s="403">
        <f>IFERROR(VLOOKUP(B12,'Staff Survey'!B:L,8,FALSE),"-")</f>
        <v>5.8</v>
      </c>
      <c r="CD12" s="428" t="s">
        <v>389</v>
      </c>
      <c r="CE12" s="403">
        <f>IFERROR(VLOOKUP(B12,'Staff Survey'!B:L,9,FALSE),"-")</f>
        <v>6.8</v>
      </c>
      <c r="CF12" s="428" t="s">
        <v>389</v>
      </c>
      <c r="CG12" s="403">
        <f>IFERROR(VLOOKUP(B12,'Staff Survey'!B:L,10,FALSE),"-")</f>
        <v>6.9</v>
      </c>
      <c r="CH12" s="277">
        <v>7.1</v>
      </c>
      <c r="CI12" s="412">
        <f>IFERROR(VLOOKUP(B12,'Staff Survey'!B:L,11,FALSE),"-")</f>
        <v>5.8</v>
      </c>
      <c r="CJ12" s="111">
        <v>6.2</v>
      </c>
      <c r="CL12" s="119">
        <f>IFERROR(VLOOKUP(B12,'LfE . HR Ops . F2SU'!A:B,2,FALSE),0)</f>
        <v>4</v>
      </c>
      <c r="CM12" s="119">
        <f>IFERROR(VLOOKUP(B12,'Previous Dashboard'!B:CR,89,FALSE),0)</f>
        <v>12</v>
      </c>
      <c r="CN12" s="124"/>
      <c r="CO12" s="125"/>
      <c r="CP12" s="126"/>
      <c r="CQ12" s="126"/>
    </row>
    <row r="13" spans="1:95" x14ac:dyDescent="0.25">
      <c r="A13" s="651"/>
      <c r="B13" s="543" t="s">
        <v>30</v>
      </c>
      <c r="C13" s="310">
        <f>IFERROR(VLOOKUP(B13,'Staff In Post'!A:C,3,FALSE),0)</f>
        <v>393</v>
      </c>
      <c r="D13" s="246">
        <f>IFERROR(VLOOKUP(B13,'Mandatory Training'!A:C,3,FALSE),0)</f>
        <v>0.72383720930232553</v>
      </c>
      <c r="E13" s="24">
        <f>IFERROR(VLOOKUP(B13,'Previous Dashboard'!B:CR,3,FALSE),0)</f>
        <v>0.60233918128654973</v>
      </c>
      <c r="F13" s="63">
        <f>IF(D13&gt;=Benchmark!C$4,1,0)</f>
        <v>0</v>
      </c>
      <c r="G13" s="17">
        <f>IFERROR(VLOOKUP(B13,Appraisals!A:C,3,FALSE),0)</f>
        <v>0.93827160493827155</v>
      </c>
      <c r="H13" s="24">
        <f>IFERROR(VLOOKUP(B13,'Previous Dashboard'!B:CR,6,FALSE),0)</f>
        <v>0.93495934959349591</v>
      </c>
      <c r="I13" s="63">
        <f>IF(G13&gt;=Benchmark!E$4,1,0)</f>
        <v>1</v>
      </c>
      <c r="J13" s="59">
        <f t="shared" si="0"/>
        <v>0.83105440712029854</v>
      </c>
      <c r="K13" s="91">
        <f t="shared" si="1"/>
        <v>0.76864926544002277</v>
      </c>
      <c r="L13" s="63">
        <f>IF(J13&gt;=Benchmark!G$4,1,0)</f>
        <v>0</v>
      </c>
      <c r="M13" s="51">
        <f>IFERROR(VLOOKUP(B13,Stress!A:D,4,FALSE),"-")</f>
        <v>2.9445152988611799E-2</v>
      </c>
      <c r="N13" s="60">
        <f>IFERROR(VLOOKUP(B13,'Previous Dashboard'!B:CR,12,FALSE),0)</f>
        <v>2.3376169902217501E-2</v>
      </c>
      <c r="O13" s="52">
        <f>IFERROR(VLOOKUP(B13,'Musculo Skeletal'!A:D,4,FALSE),"-")</f>
        <v>1.2090338668600299E-2</v>
      </c>
      <c r="P13" s="43">
        <f>IFERROR(VLOOKUP(B13,'Previous Dashboard'!B:CR,14,FALSE),0)</f>
        <v>6.7933753286065404E-3</v>
      </c>
      <c r="Q13" s="52">
        <f>IFERROR(VLOOKUP(B13,'All Sickness'!A:D,4,FALSE),"-")</f>
        <v>8.83694604728089E-2</v>
      </c>
      <c r="R13" s="43">
        <f>IFERROR(VLOOKUP(B13,'Previous Dashboard'!B:CR,16,FALSE),0)</f>
        <v>8.4640628894051398E-2</v>
      </c>
      <c r="S13" s="63">
        <f>IF(Q13&lt;=Benchmark!K$4,1,0)</f>
        <v>0</v>
      </c>
      <c r="T13" s="44">
        <f>IFERROR(VLOOKUP(B13,LT.ST!A:C,3,FALSE),"-")</f>
        <v>5.0364610204968498E-2</v>
      </c>
      <c r="U13" s="43">
        <f>IFERROR(VLOOKUP(B13,'Previous Dashboard'!B:CR,19,FALSE),0)</f>
        <v>4.3999024588218402E-2</v>
      </c>
      <c r="V13" s="42">
        <f>IFERROR(VLOOKUP(B13,Turnover!A:C,2,FALSE),0)</f>
        <v>5.2998605299860502E-2</v>
      </c>
      <c r="W13" s="60">
        <f>IFERROR(VLOOKUP(B13,'Previous Dashboard'!B:CR,21,FALSE),0)</f>
        <v>3.6671368124118503E-2</v>
      </c>
      <c r="X13" s="63">
        <f>IF(V13&lt;=Benchmark!N$4,1,0)</f>
        <v>1</v>
      </c>
      <c r="Y13" s="159">
        <f>IFERROR(VLOOKUP(B13,Leavers!A:I,6,FALSE),0)</f>
        <v>19</v>
      </c>
      <c r="Z13" s="247">
        <f t="shared" si="2"/>
        <v>1</v>
      </c>
      <c r="AA13" s="298">
        <f>IFERROR(VLOOKUP(B13,'Previous Dashboard'!B:CR,25,FALSE),0)</f>
        <v>1</v>
      </c>
      <c r="AB13" s="188">
        <f>IFERROR(VLOOKUP(VLOOKUP($B13,'Pulse Mapping'!$A:$C,3,FALSE),'Pulse Survey'!$A:$J,2,FALSE),0)</f>
        <v>38</v>
      </c>
      <c r="AC13" s="25">
        <f>IFERROR(VLOOKUP(B13,'Previous Dashboard'!B:CR,27,FALSE),0)</f>
        <v>37</v>
      </c>
      <c r="AD13" s="362">
        <f t="shared" si="3"/>
        <v>9.6692111959287536E-2</v>
      </c>
      <c r="AE13" s="408">
        <f>IFERROR(VLOOKUP(B13,'Staff Engagement'!A:E,5,FALSE),0)</f>
        <v>5.9502923976608191</v>
      </c>
      <c r="AF13" s="409">
        <f>IFERROR(VLOOKUP(B13,'Previous Dashboard'!B:CQ,30,FALSE),0)</f>
        <v>6.2912912912912917</v>
      </c>
      <c r="AG13" s="112">
        <f>IFERROR(VLOOKUP(B13,'Staff Engagement'!A:E,2,FALSE),0)</f>
        <v>6.0745614035087723</v>
      </c>
      <c r="AH13" s="409">
        <f>IFERROR(VLOOKUP(B13,'Previous Dashboard'!B:CQ,32,FALSE),0)</f>
        <v>5.8558558558558556</v>
      </c>
      <c r="AI13" s="110">
        <f>IFERROR(VLOOKUP(B13,'Staff Engagement'!A:E,3,FALSE),0)</f>
        <v>5.5482456140350873</v>
      </c>
      <c r="AJ13" s="409">
        <f>IFERROR(VLOOKUP(B13,'Previous Dashboard'!B:CQ,34,FALSE),0)</f>
        <v>6.1261261261261257</v>
      </c>
      <c r="AK13" s="112">
        <f>IFERROR(VLOOKUP(B13,'Staff Engagement'!A:E,4,FALSE),0)</f>
        <v>6.2280701754385968</v>
      </c>
      <c r="AL13" s="271">
        <f>IFERROR(VLOOKUP(B13,'Previous Dashboard'!B:CQ,36,FALSE),0)</f>
        <v>6.8918918918918921</v>
      </c>
      <c r="AM13" s="386">
        <f>IFERROR(VLOOKUP(B13,'Patient Experience'!A:K,9,FALSE),0)</f>
        <v>0.91150442477876104</v>
      </c>
      <c r="AN13" s="60">
        <f>IFERROR(VLOOKUP(VLOOKUP($B13,'Pulse Mapping'!$A:$C,3,FALSE),'Pulse Survey'!$A:$J,'Pulse Survey'!C$1,FALSE),0)</f>
        <v>0.47368421052631582</v>
      </c>
      <c r="AO13" s="63" cm="1">
        <f t="array" ref="AO13">_xlfn.IFS(AN13 = "-",0,AN13 &gt;=Benchmark!R$4,1,AN13&lt;Benchmark!R$4,0)</f>
        <v>0</v>
      </c>
      <c r="AP13" s="43">
        <f>IFERROR(VLOOKUP(B13,'Previous Dashboard'!B:CR,39,FALSE),0)</f>
        <v>0.45945945945945948</v>
      </c>
      <c r="AQ13" s="43">
        <f>IFERROR(VLOOKUP(VLOOKUP($B13,'Pulse Mapping'!$A:$C,3,FALSE),'Pulse Survey'!$A:$J,'Pulse Survey'!D$1,FALSE),0)</f>
        <v>0.57894736842105265</v>
      </c>
      <c r="AR13" s="63" cm="1">
        <f t="array" ref="AR13">_xlfn.IFS(AQ13 = "-",0,AQ13 &gt;=Benchmark!T$4,1,AQ13&lt;Benchmark!T$4,0)</f>
        <v>0</v>
      </c>
      <c r="AS13" s="24">
        <f>IFERROR(VLOOKUP(B13,'Previous Dashboard'!B:CR,42,FALSE),0)</f>
        <v>0.48648648648648651</v>
      </c>
      <c r="AT13" s="43">
        <f>IFERROR(VLOOKUP(VLOOKUP($B13,'Pulse Mapping'!$A:$C,3,FALSE),'Pulse Survey'!$A:$J,'Pulse Survey'!E$1,FALSE),0)</f>
        <v>0.26315789473684209</v>
      </c>
      <c r="AU13" s="63" cm="1">
        <f t="array" ref="AU13">_xlfn.IFS(AT13 = "-",0,AT13 &gt;=Benchmark!V$4,1,AT13&lt;Benchmark!V$4,0)</f>
        <v>0</v>
      </c>
      <c r="AV13" s="24">
        <f>IFERROR(VLOOKUP(B13,'Previous Dashboard'!B:CR,45,FALSE),0)</f>
        <v>0.48648648648648651</v>
      </c>
      <c r="AW13" s="43">
        <f>IFERROR(VLOOKUP(VLOOKUP($B13,'Pulse Mapping'!$A:$C,3,FALSE),'Pulse Survey'!$A:$J,'Pulse Survey'!F$1,FALSE),0)</f>
        <v>0.44736842105263153</v>
      </c>
      <c r="AX13" s="63" cm="1">
        <f t="array" ref="AX13">_xlfn.IFS(AW13 = "-",0,AW13 &gt;=Benchmark!X$4,1,AW13&lt;Benchmark!X$4,0)</f>
        <v>0</v>
      </c>
      <c r="AY13" s="24">
        <f>IFERROR(VLOOKUP(B13,'Previous Dashboard'!B:CR,48,FALSE),0)</f>
        <v>0.59459459459459463</v>
      </c>
      <c r="AZ13" s="43">
        <f>IFERROR(VLOOKUP(VLOOKUP($B13,'Pulse Mapping'!$A:$C,3,FALSE),'Pulse Survey'!$A:$J,'Pulse Survey'!G$1,FALSE),0)</f>
        <v>0.44736842105263158</v>
      </c>
      <c r="BA13" s="63" cm="1">
        <f t="array" ref="BA13">_xlfn.IFS(AZ13 = "-",0,AZ13 &gt;=Benchmark!Z$4,1,AZ13&lt;Benchmark!Z$4,0)</f>
        <v>0</v>
      </c>
      <c r="BB13" s="24">
        <f>IFERROR(VLOOKUP(B13,'Previous Dashboard'!B:CR,51,FALSE),0)</f>
        <v>0.54054054054054057</v>
      </c>
      <c r="BC13" s="43">
        <f>IFERROR(VLOOKUP(VLOOKUP($B13,'Pulse Mapping'!$A:$C,3,FALSE),'Pulse Survey'!$A:$J,'Pulse Survey'!H$1,FALSE),0)</f>
        <v>0.34210526315789469</v>
      </c>
      <c r="BD13" s="63" cm="1">
        <f t="array" ref="BD13">_xlfn.IFS(BC13 = "-",0,BC13 &gt;=Benchmark!AB$4,1,BC13&lt;Benchmark!AB$4,0)</f>
        <v>0</v>
      </c>
      <c r="BE13" s="24">
        <f>IFERROR(VLOOKUP(B13,'Previous Dashboard'!B:CR,54,FALSE),0)</f>
        <v>0.5135135135135136</v>
      </c>
      <c r="BF13" s="43">
        <f>IFERROR(VLOOKUP(VLOOKUP($B13,'Pulse Mapping'!$A:$C,3,FALSE),'Pulse Survey'!$A:$J,'Pulse Survey'!I$1,FALSE),0)</f>
        <v>0.5</v>
      </c>
      <c r="BG13" s="63" cm="1">
        <f t="array" ref="BG13">_xlfn.IFS(BF13 = "-",0,BF13 &gt;=Benchmark!AD$4,1,BF13&lt;Benchmark!AD$4,0)</f>
        <v>0</v>
      </c>
      <c r="BH13" s="91">
        <f>IFERROR(VLOOKUP(B13,'Previous Dashboard'!B:CR,57,FALSE),0)</f>
        <v>0.62162162162162171</v>
      </c>
      <c r="BI13" s="44">
        <f>IFERROR(VLOOKUP(VLOOKUP($B13,'Pulse Mapping'!$A:$C,3,FALSE),'Pulse Survey'!$A:$J,'Pulse Survey'!J$1,FALSE),0)</f>
        <v>0.42105263157894735</v>
      </c>
      <c r="BJ13" s="63" cm="1">
        <f t="array" ref="BJ13">_xlfn.IFS(BI13 = "-",0,BI13 &gt;=Benchmark!AF$4,1,BI13&lt;Benchmark!AF$4,0)</f>
        <v>0</v>
      </c>
      <c r="BK13" s="145">
        <f>IFERROR(VLOOKUP(B13,'Previous Dashboard'!B:CR,60,FALSE),0)</f>
        <v>0.59459459459459463</v>
      </c>
      <c r="BL13" s="224">
        <f t="shared" si="4"/>
        <v>0</v>
      </c>
      <c r="BM13" s="325">
        <f>IFERROR(VLOOKUP(B13,'Previous Dashboard'!B:CR,63,FALSE),0)</f>
        <v>0</v>
      </c>
      <c r="BN13" s="285">
        <f t="shared" si="5"/>
        <v>1</v>
      </c>
      <c r="BO13" s="190">
        <f>IFERROR(VLOOKUP(B13,'Previous Dashboard'!B:CR,65,FALSE),0)</f>
        <v>1</v>
      </c>
      <c r="BP13" s="25">
        <f>IFERROR(VLOOKUP(B13,'Previous Dashboard'!B:CR,66,FALSE),0)</f>
        <v>1</v>
      </c>
      <c r="BQ13" s="288">
        <f>IFERROR(VLOOKUP(B13,'Previous Dashboard'!B:CR,67,FALSE),0)</f>
        <v>2</v>
      </c>
      <c r="BR13" s="99"/>
      <c r="BS13" s="403">
        <f>IFERROR(VLOOKUP(B13,'Staff Survey'!B:L,3,FALSE),"-")</f>
        <v>6.8</v>
      </c>
      <c r="BT13" s="401" t="s">
        <v>389</v>
      </c>
      <c r="BU13" s="136">
        <f>IFERROR(VLOOKUP(B13,'Staff Survey'!B:L,4,FALSE),"-")</f>
        <v>5.5</v>
      </c>
      <c r="BV13" s="399" t="s">
        <v>389</v>
      </c>
      <c r="BW13" s="403">
        <f>IFERROR(VLOOKUP(B13,'Staff Survey'!B:L,5,FALSE),"-")</f>
        <v>6.4</v>
      </c>
      <c r="BX13" s="402" t="s">
        <v>389</v>
      </c>
      <c r="BY13" s="403">
        <f>IFERROR(VLOOKUP(B13,'Staff Survey'!B:L,6,FALSE),"-")</f>
        <v>5.0999999999999996</v>
      </c>
      <c r="BZ13" s="402" t="s">
        <v>389</v>
      </c>
      <c r="CA13" s="403">
        <f>IFERROR(VLOOKUP(B13,'Staff Survey'!B:L,7,FALSE),"-")</f>
        <v>5.0999999999999996</v>
      </c>
      <c r="CB13" s="428" t="s">
        <v>389</v>
      </c>
      <c r="CC13" s="403">
        <f>IFERROR(VLOOKUP(B13,'Staff Survey'!B:L,8,FALSE),"-")</f>
        <v>5.5</v>
      </c>
      <c r="CD13" s="428" t="s">
        <v>389</v>
      </c>
      <c r="CE13" s="403">
        <f>IFERROR(VLOOKUP(B13,'Staff Survey'!B:L,9,FALSE),"-")</f>
        <v>6.1</v>
      </c>
      <c r="CF13" s="428" t="s">
        <v>389</v>
      </c>
      <c r="CG13" s="403">
        <f>IFERROR(VLOOKUP(B13,'Staff Survey'!B:L,10,FALSE),"-")</f>
        <v>6.5</v>
      </c>
      <c r="CH13" s="277">
        <v>7.1</v>
      </c>
      <c r="CI13" s="412">
        <f>IFERROR(VLOOKUP(B13,'Staff Survey'!B:L,11,FALSE),"-")</f>
        <v>5.2</v>
      </c>
      <c r="CJ13" s="111">
        <v>6.7</v>
      </c>
      <c r="CL13" s="119">
        <f>IFERROR(VLOOKUP(B13,'LfE . HR Ops . F2SU'!A:B,2,FALSE),0)</f>
        <v>33</v>
      </c>
      <c r="CM13" s="119">
        <f>IFERROR(VLOOKUP(B13,'Previous Dashboard'!B:CR,89,FALSE),0)</f>
        <v>28</v>
      </c>
      <c r="CN13" s="124"/>
      <c r="CO13" s="125"/>
      <c r="CP13" s="126"/>
      <c r="CQ13" s="126"/>
    </row>
    <row r="14" spans="1:95" x14ac:dyDescent="0.25">
      <c r="A14" s="651"/>
      <c r="B14" s="543" t="s">
        <v>31</v>
      </c>
      <c r="C14" s="310">
        <f>IFERROR(VLOOKUP(B14,'Staff In Post'!A:C,3,FALSE),0)</f>
        <v>81</v>
      </c>
      <c r="D14" s="246">
        <f>IFERROR(VLOOKUP(B14,'Mandatory Training'!A:C,3,FALSE),0)</f>
        <v>0.66233766233766234</v>
      </c>
      <c r="E14" s="24">
        <f>IFERROR(VLOOKUP(B14,'Previous Dashboard'!B:CR,3,FALSE),0)</f>
        <v>0.6901408450704225</v>
      </c>
      <c r="F14" s="63">
        <f>IF(D14&gt;=Benchmark!C$4,1,0)</f>
        <v>0</v>
      </c>
      <c r="G14" s="17">
        <f>IFERROR(VLOOKUP(B14,Appraisals!A:C,3,FALSE),0)</f>
        <v>0.93333333333333335</v>
      </c>
      <c r="H14" s="24">
        <f>IFERROR(VLOOKUP(B14,'Previous Dashboard'!B:CR,6,FALSE),0)</f>
        <v>0.9285714285714286</v>
      </c>
      <c r="I14" s="63">
        <f>IF(G14&gt;=Benchmark!E$4,1,0)</f>
        <v>1</v>
      </c>
      <c r="J14" s="59">
        <f t="shared" si="0"/>
        <v>0.79783549783549779</v>
      </c>
      <c r="K14" s="91">
        <f t="shared" si="1"/>
        <v>0.80935613682092555</v>
      </c>
      <c r="L14" s="63">
        <f>IF(J14&gt;=Benchmark!G$4,1,0)</f>
        <v>0</v>
      </c>
      <c r="M14" s="51">
        <f>IFERROR(VLOOKUP(B14,Stress!A:D,4,FALSE),"-")</f>
        <v>1.79054911738171E-3</v>
      </c>
      <c r="N14" s="60">
        <f>IFERROR(VLOOKUP(B14,'Previous Dashboard'!B:CR,12,FALSE),0)</f>
        <v>1.5804860018791E-2</v>
      </c>
      <c r="O14" s="52">
        <f>IFERROR(VLOOKUP(B14,'Musculo Skeletal'!A:D,4,FALSE),"-")</f>
        <v>4.3768854081197598E-3</v>
      </c>
      <c r="P14" s="43">
        <f>IFERROR(VLOOKUP(B14,'Previous Dashboard'!B:CR,14,FALSE),0)</f>
        <v>5.9135353521239196E-3</v>
      </c>
      <c r="Q14" s="52">
        <f>IFERROR(VLOOKUP(B14,'All Sickness'!A:D,4,FALSE),"-")</f>
        <v>3.2915585342242003E-2</v>
      </c>
      <c r="R14" s="43">
        <f>IFERROR(VLOOKUP(B14,'Previous Dashboard'!B:CR,16,FALSE),0)</f>
        <v>5.9104640471803402E-2</v>
      </c>
      <c r="S14" s="63">
        <f>IF(Q14&lt;=Benchmark!K$4,1,0)</f>
        <v>1</v>
      </c>
      <c r="T14" s="44">
        <f>IFERROR(VLOOKUP(B14,LT.ST!A:C,3,FALSE),"-")</f>
        <v>0</v>
      </c>
      <c r="U14" s="43">
        <f>IFERROR(VLOOKUP(B14,'Previous Dashboard'!B:CR,19,FALSE),0)</f>
        <v>1.8673451186511602E-2</v>
      </c>
      <c r="V14" s="42">
        <f>IFERROR(VLOOKUP(B14,Turnover!A:C,2,FALSE),0)</f>
        <v>6.9444444444444406E-2</v>
      </c>
      <c r="W14" s="60">
        <f>IFERROR(VLOOKUP(B14,'Previous Dashboard'!B:CR,21,FALSE),0)</f>
        <v>7.1942446043165506E-2</v>
      </c>
      <c r="X14" s="63">
        <f>IF(V14&lt;=Benchmark!N$4,1,0)</f>
        <v>1</v>
      </c>
      <c r="Y14" s="159">
        <f>IFERROR(VLOOKUP(B14,Leavers!A:I,6,FALSE),0)</f>
        <v>5</v>
      </c>
      <c r="Z14" s="247">
        <f t="shared" si="2"/>
        <v>2</v>
      </c>
      <c r="AA14" s="298">
        <f>IFERROR(VLOOKUP(B14,'Previous Dashboard'!B:CR,25,FALSE),0)</f>
        <v>1</v>
      </c>
      <c r="AB14" s="188">
        <f>IFERROR(VLOOKUP(VLOOKUP($B14,'Pulse Mapping'!$A:$C,3,FALSE),'Pulse Survey'!$A:$J,2,FALSE),0)</f>
        <v>6</v>
      </c>
      <c r="AC14" s="25">
        <f>IFERROR(VLOOKUP(B14,'Previous Dashboard'!B:CR,27,FALSE),0)</f>
        <v>5</v>
      </c>
      <c r="AD14" s="362">
        <f t="shared" si="3"/>
        <v>7.407407407407407E-2</v>
      </c>
      <c r="AE14" s="408">
        <f>IFERROR(VLOOKUP(B14,'Staff Engagement'!A:E,5,FALSE),0)</f>
        <v>5.3240740740740744</v>
      </c>
      <c r="AF14" s="409">
        <f>IFERROR(VLOOKUP(B14,'Previous Dashboard'!B:CQ,30,FALSE),0)</f>
        <v>6.9444444444444446</v>
      </c>
      <c r="AG14" s="112">
        <f>IFERROR(VLOOKUP(B14,'Staff Engagement'!A:E,2,FALSE),0)</f>
        <v>4.583333333333333</v>
      </c>
      <c r="AH14" s="409">
        <f>IFERROR(VLOOKUP(B14,'Previous Dashboard'!B:CQ,32,FALSE),0)</f>
        <v>6.833333333333333</v>
      </c>
      <c r="AI14" s="110">
        <f>IFERROR(VLOOKUP(B14,'Staff Engagement'!A:E,3,FALSE),0)</f>
        <v>5.416666666666667</v>
      </c>
      <c r="AJ14" s="409">
        <f>IFERROR(VLOOKUP(B14,'Previous Dashboard'!B:CQ,34,FALSE),0)</f>
        <v>6.5</v>
      </c>
      <c r="AK14" s="112">
        <f>IFERROR(VLOOKUP(B14,'Staff Engagement'!A:E,4,FALSE),0)</f>
        <v>5.9722222222222223</v>
      </c>
      <c r="AL14" s="271">
        <f>IFERROR(VLOOKUP(B14,'Previous Dashboard'!B:CQ,36,FALSE),0)</f>
        <v>7.5</v>
      </c>
      <c r="AM14" s="386">
        <f>IFERROR(VLOOKUP(B14,'Patient Experience'!A:K,9,FALSE),0)</f>
        <v>0.97222222222222221</v>
      </c>
      <c r="AN14" s="60">
        <f>IFERROR(VLOOKUP(VLOOKUP($B14,'Pulse Mapping'!$A:$C,3,FALSE),'Pulse Survey'!$A:$J,'Pulse Survey'!C$1,FALSE),0)</f>
        <v>0.16666666666666666</v>
      </c>
      <c r="AO14" s="63" cm="1">
        <f t="array" ref="AO14">_xlfn.IFS(AN14 = "-",0,AN14 &gt;=Benchmark!R$4,1,AN14&lt;Benchmark!R$4,0)</f>
        <v>0</v>
      </c>
      <c r="AP14" s="43">
        <f>IFERROR(VLOOKUP(B14,'Previous Dashboard'!B:CR,39,FALSE),0)</f>
        <v>0.6</v>
      </c>
      <c r="AQ14" s="43">
        <f>IFERROR(VLOOKUP(VLOOKUP($B14,'Pulse Mapping'!$A:$C,3,FALSE),'Pulse Survey'!$A:$J,'Pulse Survey'!D$1,FALSE),0)</f>
        <v>0</v>
      </c>
      <c r="AR14" s="63" cm="1">
        <f t="array" ref="AR14">_xlfn.IFS(AQ14 = "-",0,AQ14 &gt;=Benchmark!T$4,1,AQ14&lt;Benchmark!T$4,0)</f>
        <v>0</v>
      </c>
      <c r="AS14" s="24">
        <f>IFERROR(VLOOKUP(B14,'Previous Dashboard'!B:CR,42,FALSE),0)</f>
        <v>0.6</v>
      </c>
      <c r="AT14" s="43">
        <f>IFERROR(VLOOKUP(VLOOKUP($B14,'Pulse Mapping'!$A:$C,3,FALSE),'Pulse Survey'!$A:$J,'Pulse Survey'!E$1,FALSE),0)</f>
        <v>0.5</v>
      </c>
      <c r="AU14" s="63" cm="1">
        <f t="array" ref="AU14">_xlfn.IFS(AT14 = "-",0,AT14 &gt;=Benchmark!V$4,1,AT14&lt;Benchmark!V$4,0)</f>
        <v>0</v>
      </c>
      <c r="AV14" s="24">
        <f>IFERROR(VLOOKUP(B14,'Previous Dashboard'!B:CR,45,FALSE),0)</f>
        <v>0.8</v>
      </c>
      <c r="AW14" s="43">
        <f>IFERROR(VLOOKUP(VLOOKUP($B14,'Pulse Mapping'!$A:$C,3,FALSE),'Pulse Survey'!$A:$J,'Pulse Survey'!F$1,FALSE),0)</f>
        <v>0.5</v>
      </c>
      <c r="AX14" s="63" cm="1">
        <f t="array" ref="AX14">_xlfn.IFS(AW14 = "-",0,AW14 &gt;=Benchmark!X$4,1,AW14&lt;Benchmark!X$4,0)</f>
        <v>0</v>
      </c>
      <c r="AY14" s="24">
        <f>IFERROR(VLOOKUP(B14,'Previous Dashboard'!B:CR,48,FALSE),0)</f>
        <v>0.60000000000000009</v>
      </c>
      <c r="AZ14" s="43">
        <f>IFERROR(VLOOKUP(VLOOKUP($B14,'Pulse Mapping'!$A:$C,3,FALSE),'Pulse Survey'!$A:$J,'Pulse Survey'!G$1,FALSE),0)</f>
        <v>0.5</v>
      </c>
      <c r="BA14" s="63" cm="1">
        <f t="array" ref="BA14">_xlfn.IFS(AZ14 = "-",0,AZ14 &gt;=Benchmark!Z$4,1,AZ14&lt;Benchmark!Z$4,0)</f>
        <v>0</v>
      </c>
      <c r="BB14" s="24">
        <f>IFERROR(VLOOKUP(B14,'Previous Dashboard'!B:CR,51,FALSE),0)</f>
        <v>1</v>
      </c>
      <c r="BC14" s="43">
        <f>IFERROR(VLOOKUP(VLOOKUP($B14,'Pulse Mapping'!$A:$C,3,FALSE),'Pulse Survey'!$A:$J,'Pulse Survey'!H$1,FALSE),0)</f>
        <v>0.5</v>
      </c>
      <c r="BD14" s="63" cm="1">
        <f t="array" ref="BD14">_xlfn.IFS(BC14 = "-",0,BC14 &gt;=Benchmark!AB$4,1,BC14&lt;Benchmark!AB$4,0)</f>
        <v>0</v>
      </c>
      <c r="BE14" s="24">
        <f>IFERROR(VLOOKUP(B14,'Previous Dashboard'!B:CR,54,FALSE),0)</f>
        <v>0.60000000000000009</v>
      </c>
      <c r="BF14" s="43">
        <f>IFERROR(VLOOKUP(VLOOKUP($B14,'Pulse Mapping'!$A:$C,3,FALSE),'Pulse Survey'!$A:$J,'Pulse Survey'!I$1,FALSE),0)</f>
        <v>0.5</v>
      </c>
      <c r="BG14" s="63" cm="1">
        <f t="array" ref="BG14">_xlfn.IFS(BF14 = "-",0,BF14 &gt;=Benchmark!AD$4,1,BF14&lt;Benchmark!AD$4,0)</f>
        <v>0</v>
      </c>
      <c r="BH14" s="91">
        <f>IFERROR(VLOOKUP(B14,'Previous Dashboard'!B:CR,57,FALSE),0)</f>
        <v>0.6</v>
      </c>
      <c r="BI14" s="44">
        <f>IFERROR(VLOOKUP(VLOOKUP($B14,'Pulse Mapping'!$A:$C,3,FALSE),'Pulse Survey'!$A:$J,'Pulse Survey'!J$1,FALSE),0)</f>
        <v>0.5</v>
      </c>
      <c r="BJ14" s="63" cm="1">
        <f t="array" ref="BJ14">_xlfn.IFS(BI14 = "-",0,BI14 &gt;=Benchmark!AF$4,1,BI14&lt;Benchmark!AF$4,0)</f>
        <v>0</v>
      </c>
      <c r="BK14" s="145">
        <f>IFERROR(VLOOKUP(B14,'Previous Dashboard'!B:CR,60,FALSE),0)</f>
        <v>0.6</v>
      </c>
      <c r="BL14" s="224">
        <f t="shared" si="4"/>
        <v>0</v>
      </c>
      <c r="BM14" s="325">
        <f>IFERROR(VLOOKUP(B14,'Previous Dashboard'!B:CR,63,FALSE),0)</f>
        <v>2</v>
      </c>
      <c r="BN14" s="285">
        <f t="shared" si="5"/>
        <v>2</v>
      </c>
      <c r="BO14" s="190">
        <f>IFERROR(VLOOKUP(B14,'Previous Dashboard'!B:CR,65,FALSE),0)</f>
        <v>3</v>
      </c>
      <c r="BP14" s="25">
        <f>IFERROR(VLOOKUP(B14,'Previous Dashboard'!B:CR,66,FALSE),0)</f>
        <v>1</v>
      </c>
      <c r="BQ14" s="288">
        <f>IFERROR(VLOOKUP(B14,'Previous Dashboard'!B:CR,67,FALSE),0)</f>
        <v>3</v>
      </c>
      <c r="BR14" s="99"/>
      <c r="BS14" s="403">
        <f>IFERROR(VLOOKUP(B14,'Staff Survey'!B:L,3,FALSE),"-")</f>
        <v>7.2</v>
      </c>
      <c r="BT14" s="401" t="s">
        <v>389</v>
      </c>
      <c r="BU14" s="136">
        <f>IFERROR(VLOOKUP(B14,'Staff Survey'!B:L,4,FALSE),"-")</f>
        <v>5.9</v>
      </c>
      <c r="BV14" s="399" t="s">
        <v>389</v>
      </c>
      <c r="BW14" s="403">
        <f>IFERROR(VLOOKUP(B14,'Staff Survey'!B:L,5,FALSE),"-")</f>
        <v>6.9</v>
      </c>
      <c r="BX14" s="402" t="s">
        <v>389</v>
      </c>
      <c r="BY14" s="403">
        <f>IFERROR(VLOOKUP(B14,'Staff Survey'!B:L,6,FALSE),"-")</f>
        <v>5.7</v>
      </c>
      <c r="BZ14" s="402" t="s">
        <v>389</v>
      </c>
      <c r="CA14" s="403">
        <f>IFERROR(VLOOKUP(B14,'Staff Survey'!B:L,7,FALSE),"-")</f>
        <v>5.4</v>
      </c>
      <c r="CB14" s="428" t="s">
        <v>389</v>
      </c>
      <c r="CC14" s="403">
        <f>IFERROR(VLOOKUP(B14,'Staff Survey'!B:L,8,FALSE),"-")</f>
        <v>6.2</v>
      </c>
      <c r="CD14" s="428" t="s">
        <v>389</v>
      </c>
      <c r="CE14" s="403">
        <f>IFERROR(VLOOKUP(B14,'Staff Survey'!B:L,9,FALSE),"-")</f>
        <v>6.8</v>
      </c>
      <c r="CF14" s="428" t="s">
        <v>389</v>
      </c>
      <c r="CG14" s="403">
        <f>IFERROR(VLOOKUP(B14,'Staff Survey'!B:L,10,FALSE),"-")</f>
        <v>7.1</v>
      </c>
      <c r="CH14" s="277">
        <v>7</v>
      </c>
      <c r="CI14" s="412">
        <f>IFERROR(VLOOKUP(B14,'Staff Survey'!B:L,11,FALSE),"-")</f>
        <v>5.9</v>
      </c>
      <c r="CJ14" s="111">
        <v>6.2</v>
      </c>
      <c r="CL14" s="119">
        <f>IFERROR(VLOOKUP(B14,'LfE . HR Ops . F2SU'!A:B,2,FALSE),0)</f>
        <v>4</v>
      </c>
      <c r="CM14" s="119">
        <f>IFERROR(VLOOKUP(B14,'Previous Dashboard'!B:CR,89,FALSE),0)</f>
        <v>2</v>
      </c>
      <c r="CN14" s="124"/>
      <c r="CO14" s="125"/>
      <c r="CP14" s="126"/>
      <c r="CQ14" s="126"/>
    </row>
    <row r="15" spans="1:95" x14ac:dyDescent="0.25">
      <c r="A15" s="651"/>
      <c r="B15" s="544" t="s">
        <v>32</v>
      </c>
      <c r="C15" s="310">
        <f>IFERROR(VLOOKUP(B15,'Staff In Post'!A:C,3,FALSE),0)</f>
        <v>16</v>
      </c>
      <c r="D15" s="246">
        <f>IFERROR(VLOOKUP(B15,'Mandatory Training'!A:C,3,FALSE),0)</f>
        <v>0.73333333333333328</v>
      </c>
      <c r="E15" s="24">
        <f>IFERROR(VLOOKUP(B15,'Previous Dashboard'!B:CR,3,FALSE),0)</f>
        <v>0.625</v>
      </c>
      <c r="F15" s="63">
        <f>IF(D15&gt;=Benchmark!C$4,1,0)</f>
        <v>0</v>
      </c>
      <c r="G15" s="17">
        <f>IFERROR(VLOOKUP(B15,Appraisals!A:C,3,FALSE),0)</f>
        <v>0.53333333333333333</v>
      </c>
      <c r="H15" s="24">
        <f>IFERROR(VLOOKUP(B15,'Previous Dashboard'!B:CR,6,FALSE),0)</f>
        <v>0.5714285714285714</v>
      </c>
      <c r="I15" s="63">
        <f>IF(G15&gt;=Benchmark!E$4,1,0)</f>
        <v>0</v>
      </c>
      <c r="J15" s="59">
        <f t="shared" si="0"/>
        <v>0.6333333333333333</v>
      </c>
      <c r="K15" s="91">
        <f t="shared" si="1"/>
        <v>0.5982142857142857</v>
      </c>
      <c r="L15" s="63">
        <f>IF(J15&gt;=Benchmark!G$4,1,0)</f>
        <v>0</v>
      </c>
      <c r="M15" s="51">
        <f>IFERROR(VLOOKUP(B15,Stress!A:D,4,FALSE),"-")</f>
        <v>3.3754668198793497E-2</v>
      </c>
      <c r="N15" s="60">
        <f>IFERROR(VLOOKUP(B15,'Previous Dashboard'!B:CR,12,FALSE),0)</f>
        <v>0</v>
      </c>
      <c r="O15" s="52">
        <f>IFERROR(VLOOKUP(B15,'Musculo Skeletal'!A:D,4,FALSE),"-")</f>
        <v>7.18184429761563E-4</v>
      </c>
      <c r="P15" s="43">
        <f>IFERROR(VLOOKUP(B15,'Previous Dashboard'!B:CR,14,FALSE),0)</f>
        <v>1.2290341237709701E-2</v>
      </c>
      <c r="Q15" s="52">
        <f>IFERROR(VLOOKUP(B15,'All Sickness'!A:D,4,FALSE),"-")</f>
        <v>0.131858661304223</v>
      </c>
      <c r="R15" s="43">
        <f>IFERROR(VLOOKUP(B15,'Previous Dashboard'!B:CR,16,FALSE),0)</f>
        <v>5.2053209947946801E-2</v>
      </c>
      <c r="S15" s="63">
        <f>IF(Q15&lt;=Benchmark!K$4,1,0)</f>
        <v>0</v>
      </c>
      <c r="T15" s="44">
        <f>IFERROR(VLOOKUP(B15,LT.ST!A:C,3,FALSE),"-")</f>
        <v>9.4800344728526303E-2</v>
      </c>
      <c r="U15" s="43">
        <f>IFERROR(VLOOKUP(B15,'Previous Dashboard'!B:CR,19,FALSE),0)</f>
        <v>2.8195488721804499E-2</v>
      </c>
      <c r="V15" s="42">
        <f>IFERROR(VLOOKUP(B15,Turnover!A:C,2,FALSE),0)</f>
        <v>0</v>
      </c>
      <c r="W15" s="60">
        <f>IFERROR(VLOOKUP(B15,'Previous Dashboard'!B:CR,21,FALSE),0)</f>
        <v>0</v>
      </c>
      <c r="X15" s="63">
        <f>IF(V15&lt;=Benchmark!N$4,1,0)</f>
        <v>1</v>
      </c>
      <c r="Y15" s="159">
        <f>IFERROR(VLOOKUP(B15,Leavers!A:I,6,FALSE),0)</f>
        <v>0</v>
      </c>
      <c r="Z15" s="247">
        <f t="shared" si="2"/>
        <v>1</v>
      </c>
      <c r="AA15" s="298">
        <f>IFERROR(VLOOKUP(B15,'Previous Dashboard'!B:CR,25,FALSE),0)</f>
        <v>1</v>
      </c>
      <c r="AB15" s="188">
        <f>IFERROR(VLOOKUP(VLOOKUP($B15,'Pulse Mapping'!$A:$C,3,FALSE),'Pulse Survey'!$A:$J,2,FALSE),0)</f>
        <v>0</v>
      </c>
      <c r="AC15" s="25">
        <f>IFERROR(VLOOKUP(B15,'Previous Dashboard'!B:CR,27,FALSE),0)</f>
        <v>4</v>
      </c>
      <c r="AD15" s="362">
        <f t="shared" si="3"/>
        <v>0</v>
      </c>
      <c r="AE15" s="388"/>
      <c r="AF15" s="409">
        <f>IFERROR(VLOOKUP(B15,'Previous Dashboard'!B:CQ,30,FALSE),0)</f>
        <v>6.666666666666667</v>
      </c>
      <c r="AG15" s="388"/>
      <c r="AH15" s="409">
        <f>IFERROR(VLOOKUP(B15,'Previous Dashboard'!B:CQ,32,FALSE),0)</f>
        <v>5.833333333333333</v>
      </c>
      <c r="AI15" s="388"/>
      <c r="AJ15" s="409">
        <f>IFERROR(VLOOKUP(B15,'Previous Dashboard'!B:CQ,34,FALSE),0)</f>
        <v>6.666666666666667</v>
      </c>
      <c r="AK15" s="388"/>
      <c r="AL15" s="517"/>
      <c r="AM15" s="388"/>
      <c r="AN15" s="60" t="str">
        <f>IFERROR(VLOOKUP(VLOOKUP($B15,'Pulse Mapping'!$A:$C,3,FALSE),'Pulse Survey'!$A:$J,'Pulse Survey'!C$1,FALSE),0)</f>
        <v>-</v>
      </c>
      <c r="AO15" s="63" cm="1">
        <f t="array" ref="AO15">_xlfn.IFS(AN15 = "-",0,AN15 &gt;=Benchmark!R$4,1,AN15&lt;Benchmark!R$4,0)</f>
        <v>0</v>
      </c>
      <c r="AP15" s="43" t="str">
        <f>IFERROR(VLOOKUP(B15,'Previous Dashboard'!B:CR,39,FALSE),0)</f>
        <v>-</v>
      </c>
      <c r="AQ15" s="43" t="str">
        <f>IFERROR(VLOOKUP(VLOOKUP($B15,'Pulse Mapping'!$A:$C,3,FALSE),'Pulse Survey'!$A:$J,'Pulse Survey'!D$1,FALSE),0)</f>
        <v>-</v>
      </c>
      <c r="AR15" s="63" cm="1">
        <f t="array" ref="AR15">_xlfn.IFS(AQ15 = "-",0,AQ15 &gt;=Benchmark!T$4,1,AQ15&lt;Benchmark!T$4,0)</f>
        <v>0</v>
      </c>
      <c r="AS15" s="24" t="str">
        <f>IFERROR(VLOOKUP(B15,'Previous Dashboard'!B:CR,42,FALSE),0)</f>
        <v>-</v>
      </c>
      <c r="AT15" s="43" t="str">
        <f>IFERROR(VLOOKUP(VLOOKUP($B15,'Pulse Mapping'!$A:$C,3,FALSE),'Pulse Survey'!$A:$J,'Pulse Survey'!E$1,FALSE),0)</f>
        <v>-</v>
      </c>
      <c r="AU15" s="63" cm="1">
        <f t="array" ref="AU15">_xlfn.IFS(AT15 = "-",0,AT15 &gt;=Benchmark!V$4,1,AT15&lt;Benchmark!V$4,0)</f>
        <v>0</v>
      </c>
      <c r="AV15" s="24" t="str">
        <f>IFERROR(VLOOKUP(B15,'Previous Dashboard'!B:CR,45,FALSE),0)</f>
        <v>-</v>
      </c>
      <c r="AW15" s="43" t="str">
        <f>IFERROR(VLOOKUP(VLOOKUP($B15,'Pulse Mapping'!$A:$C,3,FALSE),'Pulse Survey'!$A:$J,'Pulse Survey'!F$1,FALSE),0)</f>
        <v>-</v>
      </c>
      <c r="AX15" s="63" cm="1">
        <f t="array" ref="AX15">_xlfn.IFS(AW15 = "-",0,AW15 &gt;=Benchmark!X$4,1,AW15&lt;Benchmark!X$4,0)</f>
        <v>0</v>
      </c>
      <c r="AY15" s="24" t="str">
        <f>IFERROR(VLOOKUP(B15,'Previous Dashboard'!B:CR,48,FALSE),0)</f>
        <v>-</v>
      </c>
      <c r="AZ15" s="43" t="str">
        <f>IFERROR(VLOOKUP(VLOOKUP($B15,'Pulse Mapping'!$A:$C,3,FALSE),'Pulse Survey'!$A:$J,'Pulse Survey'!G$1,FALSE),0)</f>
        <v>-</v>
      </c>
      <c r="BA15" s="63" cm="1">
        <f t="array" ref="BA15">_xlfn.IFS(AZ15 = "-",0,AZ15 &gt;=Benchmark!Z$4,1,AZ15&lt;Benchmark!Z$4,0)</f>
        <v>0</v>
      </c>
      <c r="BB15" s="24" t="str">
        <f>IFERROR(VLOOKUP(B15,'Previous Dashboard'!B:CR,51,FALSE),0)</f>
        <v>-</v>
      </c>
      <c r="BC15" s="43" t="str">
        <f>IFERROR(VLOOKUP(VLOOKUP($B15,'Pulse Mapping'!$A:$C,3,FALSE),'Pulse Survey'!$A:$J,'Pulse Survey'!H$1,FALSE),0)</f>
        <v>-</v>
      </c>
      <c r="BD15" s="63" cm="1">
        <f t="array" ref="BD15">_xlfn.IFS(BC15 = "-",0,BC15 &gt;=Benchmark!AB$4,1,BC15&lt;Benchmark!AB$4,0)</f>
        <v>0</v>
      </c>
      <c r="BE15" s="24" t="str">
        <f>IFERROR(VLOOKUP(B15,'Previous Dashboard'!B:CR,54,FALSE),0)</f>
        <v>-</v>
      </c>
      <c r="BF15" s="43" t="str">
        <f>IFERROR(VLOOKUP(VLOOKUP($B15,'Pulse Mapping'!$A:$C,3,FALSE),'Pulse Survey'!$A:$J,'Pulse Survey'!I$1,FALSE),0)</f>
        <v>-</v>
      </c>
      <c r="BG15" s="63" cm="1">
        <f t="array" ref="BG15">_xlfn.IFS(BF15 = "-",0,BF15 &gt;=Benchmark!AD$4,1,BF15&lt;Benchmark!AD$4,0)</f>
        <v>0</v>
      </c>
      <c r="BH15" s="91" t="str">
        <f>IFERROR(VLOOKUP(B15,'Previous Dashboard'!B:CR,57,FALSE),0)</f>
        <v>-</v>
      </c>
      <c r="BI15" s="44" t="str">
        <f>IFERROR(VLOOKUP(VLOOKUP($B15,'Pulse Mapping'!$A:$C,3,FALSE),'Pulse Survey'!$A:$J,'Pulse Survey'!J$1,FALSE),0)</f>
        <v>-</v>
      </c>
      <c r="BJ15" s="63" cm="1">
        <f t="array" ref="BJ15">_xlfn.IFS(BI15 = "-",0,BI15 &gt;=Benchmark!AF$4,1,BI15&lt;Benchmark!AF$4,0)</f>
        <v>0</v>
      </c>
      <c r="BK15" s="145" t="str">
        <f>IFERROR(VLOOKUP(B15,'Previous Dashboard'!B:CR,60,FALSE),0)</f>
        <v>-</v>
      </c>
      <c r="BL15" s="224">
        <f t="shared" si="4"/>
        <v>0</v>
      </c>
      <c r="BM15" s="325">
        <f>IFERROR(VLOOKUP(B15,'Previous Dashboard'!B:CR,63,FALSE),0)</f>
        <v>0</v>
      </c>
      <c r="BN15" s="285">
        <f t="shared" si="5"/>
        <v>1</v>
      </c>
      <c r="BO15" s="190">
        <f>IFERROR(VLOOKUP(B15,'Previous Dashboard'!B:CR,65,FALSE),0)</f>
        <v>1</v>
      </c>
      <c r="BP15" s="25">
        <f>IFERROR(VLOOKUP(B15,'Previous Dashboard'!B:CR,66,FALSE),0)</f>
        <v>1</v>
      </c>
      <c r="BQ15" s="288">
        <f>IFERROR(VLOOKUP(B15,'Previous Dashboard'!B:CR,67,FALSE),0)</f>
        <v>2</v>
      </c>
      <c r="BR15" s="99"/>
      <c r="BS15" s="403">
        <f>IFERROR(VLOOKUP(B15,'Staff Survey'!B:L,3,FALSE),"-")</f>
        <v>7.3</v>
      </c>
      <c r="BT15" s="401" t="s">
        <v>389</v>
      </c>
      <c r="BU15" s="136">
        <f>IFERROR(VLOOKUP(B15,'Staff Survey'!B:L,4,FALSE),"-")</f>
        <v>6</v>
      </c>
      <c r="BV15" s="399" t="s">
        <v>389</v>
      </c>
      <c r="BW15" s="403">
        <f>IFERROR(VLOOKUP(B15,'Staff Survey'!B:L,5,FALSE),"-")</f>
        <v>6.7</v>
      </c>
      <c r="BX15" s="402" t="s">
        <v>389</v>
      </c>
      <c r="BY15" s="403">
        <f>IFERROR(VLOOKUP(B15,'Staff Survey'!B:L,6,FALSE),"-")</f>
        <v>6</v>
      </c>
      <c r="BZ15" s="402" t="s">
        <v>389</v>
      </c>
      <c r="CA15" s="403">
        <f>IFERROR(VLOOKUP(B15,'Staff Survey'!B:L,7,FALSE),"-")</f>
        <v>5.2</v>
      </c>
      <c r="CB15" s="428" t="s">
        <v>389</v>
      </c>
      <c r="CC15" s="403">
        <f>IFERROR(VLOOKUP(B15,'Staff Survey'!B:L,8,FALSE),"-")</f>
        <v>6.7</v>
      </c>
      <c r="CD15" s="428" t="s">
        <v>389</v>
      </c>
      <c r="CE15" s="403">
        <f>IFERROR(VLOOKUP(B15,'Staff Survey'!B:L,9,FALSE),"-")</f>
        <v>6.9</v>
      </c>
      <c r="CF15" s="428" t="s">
        <v>389</v>
      </c>
      <c r="CG15" s="140">
        <f>IFERROR(VLOOKUP(B15,'Staff Survey'!B:L,10,FALSE),"-")</f>
        <v>6.9</v>
      </c>
      <c r="CH15" s="417" t="s">
        <v>389</v>
      </c>
      <c r="CI15" s="412">
        <f>IFERROR(VLOOKUP(B15,'Staff Survey'!B:L,11,FALSE),"-")</f>
        <v>6.1</v>
      </c>
      <c r="CJ15" s="419" t="s">
        <v>389</v>
      </c>
      <c r="CL15" s="119" t="str">
        <f>IFERROR(VLOOKUP(B15,'LfE . HR Ops . F2SU'!A:B,2,FALSE),0)</f>
        <v>-</v>
      </c>
      <c r="CM15" s="119" t="str">
        <f>IFERROR(VLOOKUP(B15,'Previous Dashboard'!B:CR,89,FALSE),0)</f>
        <v>-</v>
      </c>
      <c r="CN15" s="124"/>
      <c r="CO15" s="125"/>
      <c r="CP15" s="126"/>
      <c r="CQ15" s="126"/>
    </row>
    <row r="16" spans="1:95" x14ac:dyDescent="0.25">
      <c r="A16" s="651"/>
      <c r="B16" s="543" t="s">
        <v>33</v>
      </c>
      <c r="C16" s="310">
        <f>IFERROR(VLOOKUP(B16,'Staff In Post'!A:C,3,FALSE),0)</f>
        <v>139</v>
      </c>
      <c r="D16" s="246">
        <f>IFERROR(VLOOKUP(B16,'Mandatory Training'!A:C,3,FALSE),0)</f>
        <v>0.82203389830508478</v>
      </c>
      <c r="E16" s="24">
        <f>IFERROR(VLOOKUP(B16,'Previous Dashboard'!B:CR,3,FALSE),0)</f>
        <v>0.64406779661016944</v>
      </c>
      <c r="F16" s="63">
        <f>IF(D16&gt;=Benchmark!C$4,1,0)</f>
        <v>0</v>
      </c>
      <c r="G16" s="17">
        <f>IFERROR(VLOOKUP(B16,Appraisals!A:C,3,FALSE),0)</f>
        <v>0.82795698924731187</v>
      </c>
      <c r="H16" s="24">
        <f>IFERROR(VLOOKUP(B16,'Previous Dashboard'!B:CR,6,FALSE),0)</f>
        <v>0.91304347826086951</v>
      </c>
      <c r="I16" s="63">
        <f>IF(G16&gt;=Benchmark!E$4,1,0)</f>
        <v>0</v>
      </c>
      <c r="J16" s="59">
        <f t="shared" si="0"/>
        <v>0.82499544377619838</v>
      </c>
      <c r="K16" s="91">
        <f t="shared" si="1"/>
        <v>0.77855563743551948</v>
      </c>
      <c r="L16" s="63">
        <f>IF(J16&gt;=Benchmark!G$4,1,0)</f>
        <v>0</v>
      </c>
      <c r="M16" s="51">
        <f>IFERROR(VLOOKUP(B16,Stress!A:D,4,FALSE),"-")</f>
        <v>1.02104957775607E-2</v>
      </c>
      <c r="N16" s="60">
        <f>IFERROR(VLOOKUP(B16,'Previous Dashboard'!B:CR,12,FALSE),0)</f>
        <v>1.3028545520214801E-2</v>
      </c>
      <c r="O16" s="52">
        <f>IFERROR(VLOOKUP(B16,'Musculo Skeletal'!A:D,4,FALSE),"-")</f>
        <v>1.7182804362600501E-2</v>
      </c>
      <c r="P16" s="43">
        <f>IFERROR(VLOOKUP(B16,'Previous Dashboard'!B:CR,14,FALSE),0)</f>
        <v>1.24074374465909E-2</v>
      </c>
      <c r="Q16" s="52">
        <f>IFERROR(VLOOKUP(B16,'All Sickness'!A:D,4,FALSE),"-")</f>
        <v>6.1995890713246703E-2</v>
      </c>
      <c r="R16" s="43">
        <f>IFERROR(VLOOKUP(B16,'Previous Dashboard'!B:CR,16,FALSE),0)</f>
        <v>7.2624589299320794E-2</v>
      </c>
      <c r="S16" s="63">
        <f>IF(Q16&lt;=Benchmark!K$4,1,0)</f>
        <v>0</v>
      </c>
      <c r="T16" s="44">
        <f>IFERROR(VLOOKUP(B16,LT.ST!A:C,3,FALSE),"-")</f>
        <v>2.9482530711220999E-2</v>
      </c>
      <c r="U16" s="43">
        <f>IFERROR(VLOOKUP(B16,'Previous Dashboard'!B:CR,19,FALSE),0)</f>
        <v>2.98131196641554E-2</v>
      </c>
      <c r="V16" s="42">
        <f>IFERROR(VLOOKUP(B16,Turnover!A:C,2,FALSE),0)</f>
        <v>8.23045267489712E-3</v>
      </c>
      <c r="W16" s="60">
        <f>IFERROR(VLOOKUP(B16,'Previous Dashboard'!B:CR,21,FALSE),0)</f>
        <v>8.6206896551724102E-3</v>
      </c>
      <c r="X16" s="63">
        <f>IF(V16&lt;=Benchmark!N$4,1,0)</f>
        <v>1</v>
      </c>
      <c r="Y16" s="159">
        <f>IFERROR(VLOOKUP(B16,Leavers!A:I,6,FALSE),0)</f>
        <v>1</v>
      </c>
      <c r="Z16" s="247">
        <f t="shared" si="2"/>
        <v>1</v>
      </c>
      <c r="AA16" s="298">
        <f>IFERROR(VLOOKUP(B16,'Previous Dashboard'!B:CR,25,FALSE),0)</f>
        <v>1</v>
      </c>
      <c r="AB16" s="188">
        <f>IFERROR(VLOOKUP(VLOOKUP($B16,'Pulse Mapping'!$A:$C,3,FALSE),'Pulse Survey'!$A:$J,2,FALSE),0)</f>
        <v>6</v>
      </c>
      <c r="AC16" s="25">
        <f>IFERROR(VLOOKUP(B16,'Previous Dashboard'!B:CR,27,FALSE),0)</f>
        <v>11</v>
      </c>
      <c r="AD16" s="362">
        <f t="shared" si="3"/>
        <v>4.3165467625899283E-2</v>
      </c>
      <c r="AE16" s="408">
        <f>IFERROR(VLOOKUP(B16,'Staff Engagement'!A:E,5,FALSE),0)</f>
        <v>6.8518518518518512</v>
      </c>
      <c r="AF16" s="409">
        <f>IFERROR(VLOOKUP(B16,'Previous Dashboard'!B:CQ,30,FALSE),0)</f>
        <v>7.1464646464646471</v>
      </c>
      <c r="AG16" s="112">
        <f>IFERROR(VLOOKUP(B16,'Staff Engagement'!A:E,2,FALSE),0)</f>
        <v>7.2222222222222223</v>
      </c>
      <c r="AH16" s="409">
        <f>IFERROR(VLOOKUP(B16,'Previous Dashboard'!B:CQ,32,FALSE),0)</f>
        <v>6.5909090909090908</v>
      </c>
      <c r="AI16" s="110">
        <f>IFERROR(VLOOKUP(B16,'Staff Engagement'!A:E,3,FALSE),0)</f>
        <v>6.3888888888888893</v>
      </c>
      <c r="AJ16" s="409">
        <f>IFERROR(VLOOKUP(B16,'Previous Dashboard'!B:CQ,34,FALSE),0)</f>
        <v>7.6515151515151514</v>
      </c>
      <c r="AK16" s="112">
        <f>IFERROR(VLOOKUP(B16,'Staff Engagement'!A:E,4,FALSE),0)</f>
        <v>6.9444444444444446</v>
      </c>
      <c r="AL16" s="271">
        <f>IFERROR(VLOOKUP(B16,'Previous Dashboard'!B:CQ,36,FALSE),0)</f>
        <v>7.1969696969696972</v>
      </c>
      <c r="AM16" s="386">
        <f>IFERROR(VLOOKUP(B16,'Patient Experience'!A:K,9,FALSE),0)</f>
        <v>0.99300699300699302</v>
      </c>
      <c r="AN16" s="60">
        <f>IFERROR(VLOOKUP(VLOOKUP($B16,'Pulse Mapping'!$A:$C,3,FALSE),'Pulse Survey'!$A:$J,'Pulse Survey'!C$1,FALSE),0)</f>
        <v>0.5</v>
      </c>
      <c r="AO16" s="63" cm="1">
        <f t="array" ref="AO16">_xlfn.IFS(AN16 = "-",0,AN16 &gt;=Benchmark!R$4,1,AN16&lt;Benchmark!R$4,0)</f>
        <v>0</v>
      </c>
      <c r="AP16" s="43">
        <f>IFERROR(VLOOKUP(B16,'Previous Dashboard'!B:CR,39,FALSE),0)</f>
        <v>0.54545454545454541</v>
      </c>
      <c r="AQ16" s="43">
        <f>IFERROR(VLOOKUP(VLOOKUP($B16,'Pulse Mapping'!$A:$C,3,FALSE),'Pulse Survey'!$A:$J,'Pulse Survey'!D$1,FALSE),0)</f>
        <v>0.66666666666666663</v>
      </c>
      <c r="AR16" s="63" cm="1">
        <f t="array" ref="AR16">_xlfn.IFS(AQ16 = "-",0,AQ16 &gt;=Benchmark!T$4,1,AQ16&lt;Benchmark!T$4,0)</f>
        <v>0</v>
      </c>
      <c r="AS16" s="24">
        <f>IFERROR(VLOOKUP(B16,'Previous Dashboard'!B:CR,42,FALSE),0)</f>
        <v>0.27272727272727271</v>
      </c>
      <c r="AT16" s="43">
        <f>IFERROR(VLOOKUP(VLOOKUP($B16,'Pulse Mapping'!$A:$C,3,FALSE),'Pulse Survey'!$A:$J,'Pulse Survey'!E$1,FALSE),0)</f>
        <v>0.5</v>
      </c>
      <c r="AU16" s="63" cm="1">
        <f t="array" ref="AU16">_xlfn.IFS(AT16 = "-",0,AT16 &gt;=Benchmark!V$4,1,AT16&lt;Benchmark!V$4,0)</f>
        <v>0</v>
      </c>
      <c r="AV16" s="24">
        <f>IFERROR(VLOOKUP(B16,'Previous Dashboard'!B:CR,45,FALSE),0)</f>
        <v>0.45454545454545459</v>
      </c>
      <c r="AW16" s="43">
        <f>IFERROR(VLOOKUP(VLOOKUP($B16,'Pulse Mapping'!$A:$C,3,FALSE),'Pulse Survey'!$A:$J,'Pulse Survey'!F$1,FALSE),0)</f>
        <v>0.5</v>
      </c>
      <c r="AX16" s="63" cm="1">
        <f t="array" ref="AX16">_xlfn.IFS(AW16 = "-",0,AW16 &gt;=Benchmark!X$4,1,AW16&lt;Benchmark!X$4,0)</f>
        <v>0</v>
      </c>
      <c r="AY16" s="24">
        <f>IFERROR(VLOOKUP(B16,'Previous Dashboard'!B:CR,48,FALSE),0)</f>
        <v>0.81818181818181812</v>
      </c>
      <c r="AZ16" s="43">
        <f>IFERROR(VLOOKUP(VLOOKUP($B16,'Pulse Mapping'!$A:$C,3,FALSE),'Pulse Survey'!$A:$J,'Pulse Survey'!G$1,FALSE),0)</f>
        <v>0.5</v>
      </c>
      <c r="BA16" s="63" cm="1">
        <f t="array" ref="BA16">_xlfn.IFS(AZ16 = "-",0,AZ16 &gt;=Benchmark!Z$4,1,AZ16&lt;Benchmark!Z$4,0)</f>
        <v>0</v>
      </c>
      <c r="BB16" s="24">
        <f>IFERROR(VLOOKUP(B16,'Previous Dashboard'!B:CR,51,FALSE),0)</f>
        <v>0.54545454545454541</v>
      </c>
      <c r="BC16" s="43">
        <f>IFERROR(VLOOKUP(VLOOKUP($B16,'Pulse Mapping'!$A:$C,3,FALSE),'Pulse Survey'!$A:$J,'Pulse Survey'!H$1,FALSE),0)</f>
        <v>0.5</v>
      </c>
      <c r="BD16" s="63" cm="1">
        <f t="array" ref="BD16">_xlfn.IFS(BC16 = "-",0,BC16 &gt;=Benchmark!AB$4,1,BC16&lt;Benchmark!AB$4,0)</f>
        <v>0</v>
      </c>
      <c r="BE16" s="24">
        <f>IFERROR(VLOOKUP(B16,'Previous Dashboard'!B:CR,54,FALSE),0)</f>
        <v>0.81818181818181812</v>
      </c>
      <c r="BF16" s="43">
        <f>IFERROR(VLOOKUP(VLOOKUP($B16,'Pulse Mapping'!$A:$C,3,FALSE),'Pulse Survey'!$A:$J,'Pulse Survey'!I$1,FALSE),0)</f>
        <v>0.66666666666666663</v>
      </c>
      <c r="BG16" s="63" cm="1">
        <f t="array" ref="BG16">_xlfn.IFS(BF16 = "-",0,BF16 &gt;=Benchmark!AD$4,1,BF16&lt;Benchmark!AD$4,0)</f>
        <v>0</v>
      </c>
      <c r="BH16" s="91">
        <f>IFERROR(VLOOKUP(B16,'Previous Dashboard'!B:CR,57,FALSE),0)</f>
        <v>0.72727272727272729</v>
      </c>
      <c r="BI16" s="44">
        <f>IFERROR(VLOOKUP(VLOOKUP($B16,'Pulse Mapping'!$A:$C,3,FALSE),'Pulse Survey'!$A:$J,'Pulse Survey'!J$1,FALSE),0)</f>
        <v>0.5</v>
      </c>
      <c r="BJ16" s="63" cm="1">
        <f t="array" ref="BJ16">_xlfn.IFS(BI16 = "-",0,BI16 &gt;=Benchmark!AF$4,1,BI16&lt;Benchmark!AF$4,0)</f>
        <v>0</v>
      </c>
      <c r="BK16" s="145">
        <f>IFERROR(VLOOKUP(B16,'Previous Dashboard'!B:CR,60,FALSE),0)</f>
        <v>0.81818181818181812</v>
      </c>
      <c r="BL16" s="224">
        <f t="shared" si="4"/>
        <v>0</v>
      </c>
      <c r="BM16" s="325">
        <f>IFERROR(VLOOKUP(B16,'Previous Dashboard'!B:CR,63,FALSE),0)</f>
        <v>4</v>
      </c>
      <c r="BN16" s="285">
        <f t="shared" si="5"/>
        <v>1</v>
      </c>
      <c r="BO16" s="190">
        <f>IFERROR(VLOOKUP(B16,'Previous Dashboard'!B:CR,65,FALSE),0)</f>
        <v>5</v>
      </c>
      <c r="BP16" s="25">
        <f>IFERROR(VLOOKUP(B16,'Previous Dashboard'!B:CR,66,FALSE),0)</f>
        <v>1</v>
      </c>
      <c r="BQ16" s="288">
        <f>IFERROR(VLOOKUP(B16,'Previous Dashboard'!B:CR,67,FALSE),0)</f>
        <v>2</v>
      </c>
      <c r="BR16" s="99"/>
      <c r="BS16" s="403">
        <f>IFERROR(VLOOKUP(B16,'Staff Survey'!B:L,3,FALSE),"-")</f>
        <v>7.2</v>
      </c>
      <c r="BT16" s="401" t="s">
        <v>389</v>
      </c>
      <c r="BU16" s="136">
        <f>IFERROR(VLOOKUP(B16,'Staff Survey'!B:L,4,FALSE),"-")</f>
        <v>5.9</v>
      </c>
      <c r="BV16" s="399" t="s">
        <v>389</v>
      </c>
      <c r="BW16" s="403">
        <f>IFERROR(VLOOKUP(B16,'Staff Survey'!B:L,5,FALSE),"-")</f>
        <v>6.9</v>
      </c>
      <c r="BX16" s="402" t="s">
        <v>389</v>
      </c>
      <c r="BY16" s="403">
        <f>IFERROR(VLOOKUP(B16,'Staff Survey'!B:L,6,FALSE),"-")</f>
        <v>5.7</v>
      </c>
      <c r="BZ16" s="402" t="s">
        <v>389</v>
      </c>
      <c r="CA16" s="403">
        <f>IFERROR(VLOOKUP(B16,'Staff Survey'!B:L,7,FALSE),"-")</f>
        <v>5.4</v>
      </c>
      <c r="CB16" s="428" t="s">
        <v>389</v>
      </c>
      <c r="CC16" s="403">
        <f>IFERROR(VLOOKUP(B16,'Staff Survey'!B:L,8,FALSE),"-")</f>
        <v>6.2</v>
      </c>
      <c r="CD16" s="428" t="s">
        <v>389</v>
      </c>
      <c r="CE16" s="403">
        <f>IFERROR(VLOOKUP(B16,'Staff Survey'!B:L,9,FALSE),"-")</f>
        <v>6.8</v>
      </c>
      <c r="CF16" s="428" t="s">
        <v>389</v>
      </c>
      <c r="CG16" s="140">
        <f>IFERROR(VLOOKUP(B16,'Staff Survey'!B:L,10,FALSE),"-")</f>
        <v>7.1</v>
      </c>
      <c r="CH16" s="277">
        <v>7.2</v>
      </c>
      <c r="CI16" s="412">
        <f>IFERROR(VLOOKUP(B16,'Staff Survey'!B:L,11,FALSE),"-")</f>
        <v>5.9</v>
      </c>
      <c r="CJ16" s="111">
        <v>6.3</v>
      </c>
      <c r="CL16" s="119">
        <f>IFERROR(VLOOKUP(B16,'LfE . HR Ops . F2SU'!A:B,2,FALSE),0)</f>
        <v>5</v>
      </c>
      <c r="CM16" s="119">
        <f>IFERROR(VLOOKUP(B16,'Previous Dashboard'!B:CR,89,FALSE),0)</f>
        <v>13</v>
      </c>
      <c r="CN16" s="124"/>
      <c r="CO16" s="125"/>
      <c r="CP16" s="126"/>
      <c r="CQ16" s="126"/>
    </row>
    <row r="17" spans="1:95" x14ac:dyDescent="0.25">
      <c r="A17" s="651"/>
      <c r="B17" s="543" t="s">
        <v>34</v>
      </c>
      <c r="C17" s="310">
        <f>IFERROR(VLOOKUP(B17,'Staff In Post'!A:C,3,FALSE),0)</f>
        <v>206</v>
      </c>
      <c r="D17" s="246">
        <f>IFERROR(VLOOKUP(B17,'Mandatory Training'!A:C,3,FALSE),0)</f>
        <v>0.60655737704918034</v>
      </c>
      <c r="E17" s="24">
        <f>IFERROR(VLOOKUP(B17,'Previous Dashboard'!B:CR,3,FALSE),0)</f>
        <v>0.56451612903225812</v>
      </c>
      <c r="F17" s="63">
        <f>IF(D17&gt;=Benchmark!C$4,1,0)</f>
        <v>0</v>
      </c>
      <c r="G17" s="17">
        <f>IFERROR(VLOOKUP(B17,Appraisals!A:C,3,FALSE),0)</f>
        <v>0.890625</v>
      </c>
      <c r="H17" s="24">
        <f>IFERROR(VLOOKUP(B17,'Previous Dashboard'!B:CR,6,FALSE),0)</f>
        <v>0.88461538461538458</v>
      </c>
      <c r="I17" s="63">
        <f>IF(G17&gt;=Benchmark!E$4,1,0)</f>
        <v>0</v>
      </c>
      <c r="J17" s="59">
        <f t="shared" si="0"/>
        <v>0.74859118852459017</v>
      </c>
      <c r="K17" s="91">
        <f t="shared" si="1"/>
        <v>0.72456575682382129</v>
      </c>
      <c r="L17" s="63">
        <f>IF(J17&gt;=Benchmark!G$4,1,0)</f>
        <v>0</v>
      </c>
      <c r="M17" s="51">
        <f>IFERROR(VLOOKUP(B17,Stress!A:D,4,FALSE),"-")</f>
        <v>9.8233738284637592E-3</v>
      </c>
      <c r="N17" s="60">
        <f>IFERROR(VLOOKUP(B17,'Previous Dashboard'!B:CR,12,FALSE),0)</f>
        <v>3.7658995790002701E-3</v>
      </c>
      <c r="O17" s="52">
        <f>IFERROR(VLOOKUP(B17,'Musculo Skeletal'!A:D,4,FALSE),"-")</f>
        <v>6.8810068816977698E-3</v>
      </c>
      <c r="P17" s="43">
        <f>IFERROR(VLOOKUP(B17,'Previous Dashboard'!B:CR,14,FALSE),0)</f>
        <v>3.8622669278967599E-3</v>
      </c>
      <c r="Q17" s="52">
        <f>IFERROR(VLOOKUP(B17,'All Sickness'!A:D,4,FALSE),"-")</f>
        <v>5.8846570831089497E-2</v>
      </c>
      <c r="R17" s="43">
        <f>IFERROR(VLOOKUP(B17,'Previous Dashboard'!B:CR,16,FALSE),0)</f>
        <v>3.9053841485518298E-2</v>
      </c>
      <c r="S17" s="63">
        <f>IF(Q17&lt;=Benchmark!K$4,1,0)</f>
        <v>0</v>
      </c>
      <c r="T17" s="44">
        <f>IFERROR(VLOOKUP(B17,LT.ST!A:C,3,FALSE),"-")</f>
        <v>3.5242610560224701E-2</v>
      </c>
      <c r="U17" s="43">
        <f>IFERROR(VLOOKUP(B17,'Previous Dashboard'!B:CR,19,FALSE),0)</f>
        <v>1.4239786629962099E-2</v>
      </c>
      <c r="V17" s="42">
        <f>IFERROR(VLOOKUP(B17,Turnover!A:C,2,FALSE),0)</f>
        <v>2.8169014084507001E-2</v>
      </c>
      <c r="W17" s="60">
        <f>IFERROR(VLOOKUP(B17,'Previous Dashboard'!B:CR,21,FALSE),0)</f>
        <v>2.27272727272727E-2</v>
      </c>
      <c r="X17" s="63">
        <f>IF(V17&lt;=Benchmark!N$4,1,0)</f>
        <v>1</v>
      </c>
      <c r="Y17" s="159">
        <f>IFERROR(VLOOKUP(B17,Leavers!A:I,6,FALSE),0)</f>
        <v>5</v>
      </c>
      <c r="Z17" s="247">
        <f t="shared" si="2"/>
        <v>1</v>
      </c>
      <c r="AA17" s="298">
        <f>IFERROR(VLOOKUP(B17,'Previous Dashboard'!B:CR,25,FALSE),0)</f>
        <v>2</v>
      </c>
      <c r="AB17" s="188">
        <f>IFERROR(VLOOKUP(VLOOKUP($B17,'Pulse Mapping'!$A:$C,3,FALSE),'Pulse Survey'!$A:$J,2,FALSE),0)</f>
        <v>18</v>
      </c>
      <c r="AC17" s="25">
        <f>IFERROR(VLOOKUP(B17,'Previous Dashboard'!B:CR,27,FALSE),0)</f>
        <v>22</v>
      </c>
      <c r="AD17" s="362">
        <f t="shared" si="3"/>
        <v>8.7378640776699032E-2</v>
      </c>
      <c r="AE17" s="408">
        <f>IFERROR(VLOOKUP(B17,'Staff Engagement'!A:E,5,FALSE),0)</f>
        <v>7.0679012345679002</v>
      </c>
      <c r="AF17" s="409">
        <f>IFERROR(VLOOKUP(B17,'Previous Dashboard'!B:CQ,30,FALSE),0)</f>
        <v>7.4873737373737379</v>
      </c>
      <c r="AG17" s="112">
        <f>IFERROR(VLOOKUP(B17,'Staff Engagement'!A:E,2,FALSE),0)</f>
        <v>6.666666666666667</v>
      </c>
      <c r="AH17" s="409">
        <f>IFERROR(VLOOKUP(B17,'Previous Dashboard'!B:CQ,32,FALSE),0)</f>
        <v>6.5909090909090908</v>
      </c>
      <c r="AI17" s="110">
        <f>IFERROR(VLOOKUP(B17,'Staff Engagement'!A:E,3,FALSE),0)</f>
        <v>7.7777777777777777</v>
      </c>
      <c r="AJ17" s="409">
        <f>IFERROR(VLOOKUP(B17,'Previous Dashboard'!B:CQ,34,FALSE),0)</f>
        <v>7.916666666666667</v>
      </c>
      <c r="AK17" s="112">
        <f>IFERROR(VLOOKUP(B17,'Staff Engagement'!A:E,4,FALSE),0)</f>
        <v>6.7592592592592595</v>
      </c>
      <c r="AL17" s="271">
        <f>IFERROR(VLOOKUP(B17,'Previous Dashboard'!B:CQ,36,FALSE),0)</f>
        <v>7.9545454545454541</v>
      </c>
      <c r="AM17" s="386">
        <f>IFERROR(VLOOKUP(B17,'Patient Experience'!A:K,9,FALSE),0)</f>
        <v>0.94736842105263153</v>
      </c>
      <c r="AN17" s="60">
        <f>IFERROR(VLOOKUP(VLOOKUP($B17,'Pulse Mapping'!$A:$C,3,FALSE),'Pulse Survey'!$A:$J,'Pulse Survey'!C$1,FALSE),0)</f>
        <v>0.5</v>
      </c>
      <c r="AO17" s="63" cm="1">
        <f t="array" ref="AO17">_xlfn.IFS(AN17 = "-",0,AN17 &gt;=Benchmark!R$4,1,AN17&lt;Benchmark!R$4,0)</f>
        <v>0</v>
      </c>
      <c r="AP17" s="43">
        <f>IFERROR(VLOOKUP(B17,'Previous Dashboard'!B:CR,39,FALSE),0)</f>
        <v>0.59090909090909083</v>
      </c>
      <c r="AQ17" s="43">
        <f>IFERROR(VLOOKUP(VLOOKUP($B17,'Pulse Mapping'!$A:$C,3,FALSE),'Pulse Survey'!$A:$J,'Pulse Survey'!D$1,FALSE),0)</f>
        <v>0.66666666666666674</v>
      </c>
      <c r="AR17" s="63" cm="1">
        <f t="array" ref="AR17">_xlfn.IFS(AQ17 = "-",0,AQ17 &gt;=Benchmark!T$4,1,AQ17&lt;Benchmark!T$4,0)</f>
        <v>0</v>
      </c>
      <c r="AS17" s="24">
        <f>IFERROR(VLOOKUP(B17,'Previous Dashboard'!B:CR,42,FALSE),0)</f>
        <v>0.59090909090909083</v>
      </c>
      <c r="AT17" s="43">
        <f>IFERROR(VLOOKUP(VLOOKUP($B17,'Pulse Mapping'!$A:$C,3,FALSE),'Pulse Survey'!$A:$J,'Pulse Survey'!E$1,FALSE),0)</f>
        <v>0.61111111111111116</v>
      </c>
      <c r="AU17" s="63" cm="1">
        <f t="array" ref="AU17">_xlfn.IFS(AT17 = "-",0,AT17 &gt;=Benchmark!V$4,1,AT17&lt;Benchmark!V$4,0)</f>
        <v>0</v>
      </c>
      <c r="AV17" s="24">
        <f>IFERROR(VLOOKUP(B17,'Previous Dashboard'!B:CR,45,FALSE),0)</f>
        <v>0.63636363636363635</v>
      </c>
      <c r="AW17" s="43">
        <f>IFERROR(VLOOKUP(VLOOKUP($B17,'Pulse Mapping'!$A:$C,3,FALSE),'Pulse Survey'!$A:$J,'Pulse Survey'!F$1,FALSE),0)</f>
        <v>0.5</v>
      </c>
      <c r="AX17" s="63" cm="1">
        <f t="array" ref="AX17">_xlfn.IFS(AW17 = "-",0,AW17 &gt;=Benchmark!X$4,1,AW17&lt;Benchmark!X$4,0)</f>
        <v>0</v>
      </c>
      <c r="AY17" s="24">
        <f>IFERROR(VLOOKUP(B17,'Previous Dashboard'!B:CR,48,FALSE),0)</f>
        <v>0.54545454545454541</v>
      </c>
      <c r="AZ17" s="43">
        <f>IFERROR(VLOOKUP(VLOOKUP($B17,'Pulse Mapping'!$A:$C,3,FALSE),'Pulse Survey'!$A:$J,'Pulse Survey'!G$1,FALSE),0)</f>
        <v>0.66666666666666663</v>
      </c>
      <c r="BA17" s="63" cm="1">
        <f t="array" ref="BA17">_xlfn.IFS(AZ17 = "-",0,AZ17 &gt;=Benchmark!Z$4,1,AZ17&lt;Benchmark!Z$4,0)</f>
        <v>0</v>
      </c>
      <c r="BB17" s="24">
        <f>IFERROR(VLOOKUP(B17,'Previous Dashboard'!B:CR,51,FALSE),0)</f>
        <v>0.81818181818181812</v>
      </c>
      <c r="BC17" s="43">
        <f>IFERROR(VLOOKUP(VLOOKUP($B17,'Pulse Mapping'!$A:$C,3,FALSE),'Pulse Survey'!$A:$J,'Pulse Survey'!H$1,FALSE),0)</f>
        <v>0.66666666666666663</v>
      </c>
      <c r="BD17" s="63" cm="1">
        <f t="array" ref="BD17">_xlfn.IFS(BC17 = "-",0,BC17 &gt;=Benchmark!AB$4,1,BC17&lt;Benchmark!AB$4,0)</f>
        <v>0</v>
      </c>
      <c r="BE17" s="24">
        <f>IFERROR(VLOOKUP(B17,'Previous Dashboard'!B:CR,54,FALSE),0)</f>
        <v>0.72727272727272729</v>
      </c>
      <c r="BF17" s="43">
        <f>IFERROR(VLOOKUP(VLOOKUP($B17,'Pulse Mapping'!$A:$C,3,FALSE),'Pulse Survey'!$A:$J,'Pulse Survey'!I$1,FALSE),0)</f>
        <v>0.83333333333333326</v>
      </c>
      <c r="BG17" s="63" cm="1">
        <f t="array" ref="BG17">_xlfn.IFS(BF17 = "-",0,BF17 &gt;=Benchmark!AD$4,1,BF17&lt;Benchmark!AD$4,0)</f>
        <v>1</v>
      </c>
      <c r="BH17" s="91">
        <f>IFERROR(VLOOKUP(B17,'Previous Dashboard'!B:CR,57,FALSE),0)</f>
        <v>0.86363636363636365</v>
      </c>
      <c r="BI17" s="44">
        <f>IFERROR(VLOOKUP(VLOOKUP($B17,'Pulse Mapping'!$A:$C,3,FALSE),'Pulse Survey'!$A:$J,'Pulse Survey'!J$1,FALSE),0)</f>
        <v>0.5</v>
      </c>
      <c r="BJ17" s="63" cm="1">
        <f t="array" ref="BJ17">_xlfn.IFS(BI17 = "-",0,BI17 &gt;=Benchmark!AF$4,1,BI17&lt;Benchmark!AF$4,0)</f>
        <v>0</v>
      </c>
      <c r="BK17" s="145">
        <f>IFERROR(VLOOKUP(B17,'Previous Dashboard'!B:CR,60,FALSE),0)</f>
        <v>0.68181818181818177</v>
      </c>
      <c r="BL17" s="224">
        <f t="shared" si="4"/>
        <v>1</v>
      </c>
      <c r="BM17" s="325">
        <f>IFERROR(VLOOKUP(B17,'Previous Dashboard'!B:CR,63,FALSE),0)</f>
        <v>4</v>
      </c>
      <c r="BN17" s="285">
        <f t="shared" si="5"/>
        <v>2</v>
      </c>
      <c r="BO17" s="190">
        <f>IFERROR(VLOOKUP(B17,'Previous Dashboard'!B:CR,65,FALSE),0)</f>
        <v>6</v>
      </c>
      <c r="BP17" s="25">
        <f>IFERROR(VLOOKUP(B17,'Previous Dashboard'!B:CR,66,FALSE),0)</f>
        <v>1</v>
      </c>
      <c r="BQ17" s="288">
        <f>IFERROR(VLOOKUP(B17,'Previous Dashboard'!B:CR,67,FALSE),0)</f>
        <v>8</v>
      </c>
      <c r="BR17" s="99"/>
      <c r="BS17" s="403">
        <f>IFERROR(VLOOKUP(B17,'Staff Survey'!B:L,3,FALSE),"-")</f>
        <v>6.8</v>
      </c>
      <c r="BT17" s="401" t="s">
        <v>389</v>
      </c>
      <c r="BU17" s="136">
        <f>IFERROR(VLOOKUP(B17,'Staff Survey'!B:L,4,FALSE),"-")</f>
        <v>5.5</v>
      </c>
      <c r="BV17" s="399" t="s">
        <v>389</v>
      </c>
      <c r="BW17" s="403">
        <f>IFERROR(VLOOKUP(B17,'Staff Survey'!B:L,5,FALSE),"-")</f>
        <v>6.4</v>
      </c>
      <c r="BX17" s="402" t="s">
        <v>389</v>
      </c>
      <c r="BY17" s="403">
        <f>IFERROR(VLOOKUP(B17,'Staff Survey'!B:L,6,FALSE),"-")</f>
        <v>5.0999999999999996</v>
      </c>
      <c r="BZ17" s="402" t="s">
        <v>389</v>
      </c>
      <c r="CA17" s="403">
        <f>IFERROR(VLOOKUP(B17,'Staff Survey'!B:L,7,FALSE),"-")</f>
        <v>5.0999999999999996</v>
      </c>
      <c r="CB17" s="428" t="s">
        <v>389</v>
      </c>
      <c r="CC17" s="403">
        <f>IFERROR(VLOOKUP(B17,'Staff Survey'!B:L,8,FALSE),"-")</f>
        <v>5.5</v>
      </c>
      <c r="CD17" s="428" t="s">
        <v>389</v>
      </c>
      <c r="CE17" s="403">
        <f>IFERROR(VLOOKUP(B17,'Staff Survey'!B:L,9,FALSE),"-")</f>
        <v>6.1</v>
      </c>
      <c r="CF17" s="428" t="s">
        <v>389</v>
      </c>
      <c r="CG17" s="140">
        <f>IFERROR(VLOOKUP(B17,'Staff Survey'!B:L,10,FALSE),"-")</f>
        <v>6.5</v>
      </c>
      <c r="CH17" s="277">
        <v>7.2</v>
      </c>
      <c r="CI17" s="412">
        <f>IFERROR(VLOOKUP(B17,'Staff Survey'!B:L,11,FALSE),"-")</f>
        <v>5.2</v>
      </c>
      <c r="CJ17" s="111">
        <v>6.3</v>
      </c>
      <c r="CL17" s="119">
        <f>IFERROR(VLOOKUP(B17,'LfE . HR Ops . F2SU'!A:B,2,FALSE),0)</f>
        <v>14</v>
      </c>
      <c r="CM17" s="119">
        <f>IFERROR(VLOOKUP(B17,'Previous Dashboard'!B:CR,89,FALSE),0)</f>
        <v>7</v>
      </c>
      <c r="CN17" s="124"/>
      <c r="CO17" s="125"/>
      <c r="CP17" s="126"/>
      <c r="CQ17" s="126"/>
    </row>
    <row r="18" spans="1:95" x14ac:dyDescent="0.25">
      <c r="A18" s="651"/>
      <c r="B18" s="543" t="s">
        <v>35</v>
      </c>
      <c r="C18" s="310">
        <f>IFERROR(VLOOKUP(B18,'Staff In Post'!A:C,3,FALSE),0)</f>
        <v>221</v>
      </c>
      <c r="D18" s="246">
        <f>IFERROR(VLOOKUP(B18,'Mandatory Training'!A:C,3,FALSE),0)</f>
        <v>0.70707070707070707</v>
      </c>
      <c r="E18" s="24">
        <f>IFERROR(VLOOKUP(B18,'Previous Dashboard'!B:CR,3,FALSE),0)</f>
        <v>0.62105263157894741</v>
      </c>
      <c r="F18" s="63">
        <f>IF(D18&gt;=Benchmark!C$4,1,0)</f>
        <v>0</v>
      </c>
      <c r="G18" s="17">
        <f>IFERROR(VLOOKUP(B18,Appraisals!A:C,3,FALSE),0)</f>
        <v>0.84868421052631582</v>
      </c>
      <c r="H18" s="24">
        <f>IFERROR(VLOOKUP(B18,'Previous Dashboard'!B:CR,6,FALSE),0)</f>
        <v>0.86896551724137927</v>
      </c>
      <c r="I18" s="63">
        <f>IF(G18&gt;=Benchmark!E$4,1,0)</f>
        <v>0</v>
      </c>
      <c r="J18" s="59">
        <f t="shared" si="0"/>
        <v>0.77787745879851145</v>
      </c>
      <c r="K18" s="91">
        <f t="shared" si="1"/>
        <v>0.7450090744101634</v>
      </c>
      <c r="L18" s="63">
        <f>IF(J18&gt;=Benchmark!G$4,1,0)</f>
        <v>0</v>
      </c>
      <c r="M18" s="51">
        <f>IFERROR(VLOOKUP(B18,Stress!A:D,4,FALSE),"-")</f>
        <v>7.5851343099616799E-3</v>
      </c>
      <c r="N18" s="60">
        <f>IFERROR(VLOOKUP(B18,'Previous Dashboard'!B:CR,12,FALSE),0)</f>
        <v>1.7514515788164702E-2</v>
      </c>
      <c r="O18" s="52">
        <f>IFERROR(VLOOKUP(B18,'Musculo Skeletal'!A:D,4,FALSE),"-")</f>
        <v>5.1460265711154802E-3</v>
      </c>
      <c r="P18" s="43">
        <f>IFERROR(VLOOKUP(B18,'Previous Dashboard'!B:CR,14,FALSE),0)</f>
        <v>4.6800460043251004E-3</v>
      </c>
      <c r="Q18" s="52">
        <f>IFERROR(VLOOKUP(B18,'All Sickness'!A:D,4,FALSE),"-")</f>
        <v>5.3251705779083898E-2</v>
      </c>
      <c r="R18" s="43">
        <f>IFERROR(VLOOKUP(B18,'Previous Dashboard'!B:CR,16,FALSE),0)</f>
        <v>6.1279794194424399E-2</v>
      </c>
      <c r="S18" s="63">
        <f>IF(Q18&lt;=Benchmark!K$4,1,0)</f>
        <v>0</v>
      </c>
      <c r="T18" s="44">
        <f>IFERROR(VLOOKUP(B18,LT.ST!A:C,3,FALSE),"-")</f>
        <v>1.54005959510643E-2</v>
      </c>
      <c r="U18" s="43">
        <f>IFERROR(VLOOKUP(B18,'Previous Dashboard'!B:CR,19,FALSE),0)</f>
        <v>2.4380576564765399E-2</v>
      </c>
      <c r="V18" s="42">
        <f>IFERROR(VLOOKUP(B18,Turnover!A:C,2,FALSE),0)</f>
        <v>2.1390374331550801E-2</v>
      </c>
      <c r="W18" s="60">
        <f>IFERROR(VLOOKUP(B18,'Previous Dashboard'!B:CR,21,FALSE),0)</f>
        <v>3.3240997229916899E-2</v>
      </c>
      <c r="X18" s="63">
        <f>IF(V18&lt;=Benchmark!N$4,1,0)</f>
        <v>1</v>
      </c>
      <c r="Y18" s="159">
        <f>IFERROR(VLOOKUP(B18,Leavers!A:I,6,FALSE),0)</f>
        <v>4</v>
      </c>
      <c r="Z18" s="247">
        <f t="shared" si="2"/>
        <v>1</v>
      </c>
      <c r="AA18" s="298">
        <f>IFERROR(VLOOKUP(B18,'Previous Dashboard'!B:CR,25,FALSE),0)</f>
        <v>1</v>
      </c>
      <c r="AB18" s="188">
        <f>IFERROR(VLOOKUP(VLOOKUP($B18,'Pulse Mapping'!$A:$C,3,FALSE),'Pulse Survey'!$A:$J,2,FALSE),0)</f>
        <v>24</v>
      </c>
      <c r="AC18" s="25">
        <f>IFERROR(VLOOKUP(B18,'Previous Dashboard'!B:CR,27,FALSE),0)</f>
        <v>31</v>
      </c>
      <c r="AD18" s="362">
        <f t="shared" si="3"/>
        <v>0.10859728506787331</v>
      </c>
      <c r="AE18" s="408">
        <f>IFERROR(VLOOKUP(B18,'Staff Engagement'!A:E,5,FALSE),0)</f>
        <v>6.8171296296296298</v>
      </c>
      <c r="AF18" s="409">
        <f>IFERROR(VLOOKUP(B18,'Previous Dashboard'!B:CQ,30,FALSE),0)</f>
        <v>6.6039426523297484</v>
      </c>
      <c r="AG18" s="112">
        <f>IFERROR(VLOOKUP(B18,'Staff Engagement'!A:E,2,FALSE),0)</f>
        <v>6.979166666666667</v>
      </c>
      <c r="AH18" s="409">
        <f>IFERROR(VLOOKUP(B18,'Previous Dashboard'!B:CQ,32,FALSE),0)</f>
        <v>6.075268817204301</v>
      </c>
      <c r="AI18" s="110">
        <f>IFERROR(VLOOKUP(B18,'Staff Engagement'!A:E,3,FALSE),0)</f>
        <v>6.9097222222222223</v>
      </c>
      <c r="AJ18" s="409">
        <f>IFERROR(VLOOKUP(B18,'Previous Dashboard'!B:CQ,34,FALSE),0)</f>
        <v>6.908602150537634</v>
      </c>
      <c r="AK18" s="112">
        <f>IFERROR(VLOOKUP(B18,'Staff Engagement'!A:E,4,FALSE),0)</f>
        <v>6.5625</v>
      </c>
      <c r="AL18" s="271">
        <f>IFERROR(VLOOKUP(B18,'Previous Dashboard'!B:CQ,36,FALSE),0)</f>
        <v>6.827956989247312</v>
      </c>
      <c r="AM18" s="386">
        <f>IFERROR(VLOOKUP(B18,'Patient Experience'!A:K,9,FALSE),0)</f>
        <v>1</v>
      </c>
      <c r="AN18" s="60">
        <f>IFERROR(VLOOKUP(VLOOKUP($B18,'Pulse Mapping'!$A:$C,3,FALSE),'Pulse Survey'!$A:$J,'Pulse Survey'!C$1,FALSE),0)</f>
        <v>0.58333333333333337</v>
      </c>
      <c r="AO18" s="63" cm="1">
        <f t="array" ref="AO18">_xlfn.IFS(AN18 = "-",0,AN18 &gt;=Benchmark!R$4,1,AN18&lt;Benchmark!R$4,0)</f>
        <v>0</v>
      </c>
      <c r="AP18" s="43">
        <f>IFERROR(VLOOKUP(B18,'Previous Dashboard'!B:CR,39,FALSE),0)</f>
        <v>0.54838709677419351</v>
      </c>
      <c r="AQ18" s="43">
        <f>IFERROR(VLOOKUP(VLOOKUP($B18,'Pulse Mapping'!$A:$C,3,FALSE),'Pulse Survey'!$A:$J,'Pulse Survey'!D$1,FALSE),0)</f>
        <v>0.70833333333333326</v>
      </c>
      <c r="AR18" s="63" cm="1">
        <f t="array" ref="AR18">_xlfn.IFS(AQ18 = "-",0,AQ18 &gt;=Benchmark!T$4,1,AQ18&lt;Benchmark!T$4,0)</f>
        <v>1</v>
      </c>
      <c r="AS18" s="24">
        <f>IFERROR(VLOOKUP(B18,'Previous Dashboard'!B:CR,42,FALSE),0)</f>
        <v>0.58064516129032262</v>
      </c>
      <c r="AT18" s="43">
        <f>IFERROR(VLOOKUP(VLOOKUP($B18,'Pulse Mapping'!$A:$C,3,FALSE),'Pulse Survey'!$A:$J,'Pulse Survey'!E$1,FALSE),0)</f>
        <v>0.54166666666666663</v>
      </c>
      <c r="AU18" s="63" cm="1">
        <f t="array" ref="AU18">_xlfn.IFS(AT18 = "-",0,AT18 &gt;=Benchmark!V$4,1,AT18&lt;Benchmark!V$4,0)</f>
        <v>0</v>
      </c>
      <c r="AV18" s="24">
        <f>IFERROR(VLOOKUP(B18,'Previous Dashboard'!B:CR,45,FALSE),0)</f>
        <v>0.54838709677419351</v>
      </c>
      <c r="AW18" s="43">
        <f>IFERROR(VLOOKUP(VLOOKUP($B18,'Pulse Mapping'!$A:$C,3,FALSE),'Pulse Survey'!$A:$J,'Pulse Survey'!F$1,FALSE),0)</f>
        <v>0.66666666666666674</v>
      </c>
      <c r="AX18" s="63" cm="1">
        <f t="array" ref="AX18">_xlfn.IFS(AW18 = "-",0,AW18 &gt;=Benchmark!X$4,1,AW18&lt;Benchmark!X$4,0)</f>
        <v>0</v>
      </c>
      <c r="AY18" s="24">
        <f>IFERROR(VLOOKUP(B18,'Previous Dashboard'!B:CR,48,FALSE),0)</f>
        <v>0.70967741935483875</v>
      </c>
      <c r="AZ18" s="43">
        <f>IFERROR(VLOOKUP(VLOOKUP($B18,'Pulse Mapping'!$A:$C,3,FALSE),'Pulse Survey'!$A:$J,'Pulse Survey'!G$1,FALSE),0)</f>
        <v>0.66666666666666663</v>
      </c>
      <c r="BA18" s="63" cm="1">
        <f t="array" ref="BA18">_xlfn.IFS(AZ18 = "-",0,AZ18 &gt;=Benchmark!Z$4,1,AZ18&lt;Benchmark!Z$4,0)</f>
        <v>0</v>
      </c>
      <c r="BB18" s="24">
        <f>IFERROR(VLOOKUP(B18,'Previous Dashboard'!B:CR,51,FALSE),0)</f>
        <v>0.64516129032258063</v>
      </c>
      <c r="BC18" s="43">
        <f>IFERROR(VLOOKUP(VLOOKUP($B18,'Pulse Mapping'!$A:$C,3,FALSE),'Pulse Survey'!$A:$J,'Pulse Survey'!H$1,FALSE),0)</f>
        <v>0.66666666666666663</v>
      </c>
      <c r="BD18" s="63" cm="1">
        <f t="array" ref="BD18">_xlfn.IFS(BC18 = "-",0,BC18 &gt;=Benchmark!AB$4,1,BC18&lt;Benchmark!AB$4,0)</f>
        <v>0</v>
      </c>
      <c r="BE18" s="24">
        <f>IFERROR(VLOOKUP(B18,'Previous Dashboard'!B:CR,54,FALSE),0)</f>
        <v>0.74193548387096775</v>
      </c>
      <c r="BF18" s="43">
        <f>IFERROR(VLOOKUP(VLOOKUP($B18,'Pulse Mapping'!$A:$C,3,FALSE),'Pulse Survey'!$A:$J,'Pulse Survey'!I$1,FALSE),0)</f>
        <v>0.70833333333333337</v>
      </c>
      <c r="BG18" s="63" cm="1">
        <f t="array" ref="BG18">_xlfn.IFS(BF18 = "-",0,BF18 &gt;=Benchmark!AD$4,1,BF18&lt;Benchmark!AD$4,0)</f>
        <v>1</v>
      </c>
      <c r="BH18" s="91">
        <f>IFERROR(VLOOKUP(B18,'Previous Dashboard'!B:CR,57,FALSE),0)</f>
        <v>0.77419354838709675</v>
      </c>
      <c r="BI18" s="44">
        <f>IFERROR(VLOOKUP(VLOOKUP($B18,'Pulse Mapping'!$A:$C,3,FALSE),'Pulse Survey'!$A:$J,'Pulse Survey'!J$1,FALSE),0)</f>
        <v>0.625</v>
      </c>
      <c r="BJ18" s="63" cm="1">
        <f t="array" ref="BJ18">_xlfn.IFS(BI18 = "-",0,BI18 &gt;=Benchmark!AF$4,1,BI18&lt;Benchmark!AF$4,0)</f>
        <v>0</v>
      </c>
      <c r="BK18" s="145">
        <f>IFERROR(VLOOKUP(B18,'Previous Dashboard'!B:CR,60,FALSE),0)</f>
        <v>0.58064516129032251</v>
      </c>
      <c r="BL18" s="224">
        <f t="shared" si="4"/>
        <v>2</v>
      </c>
      <c r="BM18" s="325">
        <f>IFERROR(VLOOKUP(B18,'Previous Dashboard'!B:CR,63,FALSE),0)</f>
        <v>3</v>
      </c>
      <c r="BN18" s="285">
        <f t="shared" si="5"/>
        <v>3</v>
      </c>
      <c r="BO18" s="190">
        <f>IFERROR(VLOOKUP(B18,'Previous Dashboard'!B:CR,65,FALSE),0)</f>
        <v>4</v>
      </c>
      <c r="BP18" s="25">
        <f>IFERROR(VLOOKUP(B18,'Previous Dashboard'!B:CR,66,FALSE),0)</f>
        <v>1</v>
      </c>
      <c r="BQ18" s="288">
        <f>IFERROR(VLOOKUP(B18,'Previous Dashboard'!B:CR,67,FALSE),0)</f>
        <v>5</v>
      </c>
      <c r="BR18" s="99"/>
      <c r="BS18" s="403">
        <f>IFERROR(VLOOKUP(B18,'Staff Survey'!B:L,3,FALSE),"-")</f>
        <v>7.4</v>
      </c>
      <c r="BT18" s="401" t="s">
        <v>389</v>
      </c>
      <c r="BU18" s="136">
        <f>IFERROR(VLOOKUP(B18,'Staff Survey'!B:L,4,FALSE),"-")</f>
        <v>6.1</v>
      </c>
      <c r="BV18" s="399" t="s">
        <v>389</v>
      </c>
      <c r="BW18" s="403">
        <f>IFERROR(VLOOKUP(B18,'Staff Survey'!B:L,5,FALSE),"-")</f>
        <v>6.8</v>
      </c>
      <c r="BX18" s="402" t="s">
        <v>389</v>
      </c>
      <c r="BY18" s="403">
        <f>IFERROR(VLOOKUP(B18,'Staff Survey'!B:L,6,FALSE),"-")</f>
        <v>5.8</v>
      </c>
      <c r="BZ18" s="402" t="s">
        <v>389</v>
      </c>
      <c r="CA18" s="403">
        <f>IFERROR(VLOOKUP(B18,'Staff Survey'!B:L,7,FALSE),"-")</f>
        <v>5.3</v>
      </c>
      <c r="CB18" s="428" t="s">
        <v>389</v>
      </c>
      <c r="CC18" s="403">
        <f>IFERROR(VLOOKUP(B18,'Staff Survey'!B:L,8,FALSE),"-")</f>
        <v>5.8</v>
      </c>
      <c r="CD18" s="428" t="s">
        <v>389</v>
      </c>
      <c r="CE18" s="403">
        <f>IFERROR(VLOOKUP(B18,'Staff Survey'!B:L,9,FALSE),"-")</f>
        <v>6.8</v>
      </c>
      <c r="CF18" s="428" t="s">
        <v>389</v>
      </c>
      <c r="CG18" s="140">
        <f>IFERROR(VLOOKUP(B18,'Staff Survey'!B:L,10,FALSE),"-")</f>
        <v>6.9</v>
      </c>
      <c r="CH18" s="277">
        <v>7.1</v>
      </c>
      <c r="CI18" s="412">
        <f>IFERROR(VLOOKUP(B18,'Staff Survey'!B:L,11,FALSE),"-")</f>
        <v>5.8</v>
      </c>
      <c r="CJ18" s="111">
        <v>6.2</v>
      </c>
      <c r="CL18" s="119">
        <f>IFERROR(VLOOKUP(B18,'LfE . HR Ops . F2SU'!A:B,2,FALSE),0)</f>
        <v>18</v>
      </c>
      <c r="CM18" s="119">
        <f>IFERROR(VLOOKUP(B18,'Previous Dashboard'!B:CR,89,FALSE),0)</f>
        <v>15</v>
      </c>
      <c r="CN18" s="124"/>
      <c r="CO18" s="125"/>
      <c r="CP18" s="126"/>
      <c r="CQ18" s="126"/>
    </row>
    <row r="19" spans="1:95" ht="15.75" thickBot="1" x14ac:dyDescent="0.3">
      <c r="A19" s="652"/>
      <c r="B19" s="543" t="s">
        <v>36</v>
      </c>
      <c r="C19" s="310">
        <f>IFERROR(VLOOKUP(B19,'Staff In Post'!A:C,3,FALSE),0)</f>
        <v>235</v>
      </c>
      <c r="D19" s="246">
        <f>IFERROR(VLOOKUP(B19,'Mandatory Training'!A:C,3,FALSE),0)</f>
        <v>0.4845360824742268</v>
      </c>
      <c r="E19" s="24">
        <f>IFERROR(VLOOKUP(B19,'Previous Dashboard'!B:CR,3,FALSE),0)</f>
        <v>0.5736842105263158</v>
      </c>
      <c r="F19" s="63">
        <f>IF(D19&gt;=Benchmark!C$4,1,0)</f>
        <v>0</v>
      </c>
      <c r="G19" s="17">
        <f>IFERROR(VLOOKUP(B19,Appraisals!A:C,3,FALSE),0)</f>
        <v>0.78195488721804507</v>
      </c>
      <c r="H19" s="24">
        <f>IFERROR(VLOOKUP(B19,'Previous Dashboard'!B:CR,6,FALSE),0)</f>
        <v>0.84507042253521125</v>
      </c>
      <c r="I19" s="63">
        <f>IF(G19&gt;=Benchmark!E$4,1,0)</f>
        <v>0</v>
      </c>
      <c r="J19" s="59">
        <f t="shared" si="0"/>
        <v>0.63324548484613596</v>
      </c>
      <c r="K19" s="91">
        <f t="shared" si="1"/>
        <v>0.70937731653076352</v>
      </c>
      <c r="L19" s="63">
        <f>IF(J19&gt;=Benchmark!G$4,1,0)</f>
        <v>0</v>
      </c>
      <c r="M19" s="51">
        <f>IFERROR(VLOOKUP(B19,Stress!A:D,4,FALSE),"-")</f>
        <v>1.21995227309767E-2</v>
      </c>
      <c r="N19" s="60">
        <f>IFERROR(VLOOKUP(B19,'Previous Dashboard'!B:CR,12,FALSE),0)</f>
        <v>1.3993806289499099E-2</v>
      </c>
      <c r="O19" s="52">
        <f>IFERROR(VLOOKUP(B19,'Musculo Skeletal'!A:D,4,FALSE),"-")</f>
        <v>3.9678857137120799E-3</v>
      </c>
      <c r="P19" s="43">
        <f>IFERROR(VLOOKUP(B19,'Previous Dashboard'!B:CR,14,FALSE),0)</f>
        <v>9.2183231202921205E-3</v>
      </c>
      <c r="Q19" s="52">
        <f>IFERROR(VLOOKUP(B19,'All Sickness'!A:D,4,FALSE),"-")</f>
        <v>6.16322495274403E-2</v>
      </c>
      <c r="R19" s="43">
        <f>IFERROR(VLOOKUP(B19,'Previous Dashboard'!B:CR,16,FALSE),0)</f>
        <v>6.2514933010335297E-2</v>
      </c>
      <c r="S19" s="63">
        <f>IF(Q19&lt;=Benchmark!K$4,1,0)</f>
        <v>0</v>
      </c>
      <c r="T19" s="44">
        <f>IFERROR(VLOOKUP(B19,LT.ST!A:C,3,FALSE),"-")</f>
        <v>2.2990657773165602E-2</v>
      </c>
      <c r="U19" s="43">
        <f>IFERROR(VLOOKUP(B19,'Previous Dashboard'!B:CR,19,FALSE),0)</f>
        <v>2.6496642532267297E-2</v>
      </c>
      <c r="V19" s="42">
        <f>IFERROR(VLOOKUP(B19,Turnover!A:C,2,FALSE),0)</f>
        <v>4.6153846153846198E-2</v>
      </c>
      <c r="W19" s="60">
        <f>IFERROR(VLOOKUP(B19,'Previous Dashboard'!B:CR,21,FALSE),0)</f>
        <v>1.0443864229764999E-2</v>
      </c>
      <c r="X19" s="63">
        <f>IF(V19&lt;=Benchmark!N$4,1,0)</f>
        <v>1</v>
      </c>
      <c r="Y19" s="159">
        <f>IFERROR(VLOOKUP(B19,Leavers!A:I,6,FALSE),0)</f>
        <v>9</v>
      </c>
      <c r="Z19" s="247">
        <f t="shared" si="2"/>
        <v>1</v>
      </c>
      <c r="AA19" s="298">
        <f>IFERROR(VLOOKUP(B19,'Previous Dashboard'!B:CR,25,FALSE),0)</f>
        <v>1</v>
      </c>
      <c r="AB19" s="188">
        <f>IFERROR(VLOOKUP(VLOOKUP($B19,'Pulse Mapping'!$A:$C,3,FALSE),'Pulse Survey'!$A:$J,2,FALSE),0)</f>
        <v>16</v>
      </c>
      <c r="AC19" s="25">
        <f>IFERROR(VLOOKUP(B19,'Previous Dashboard'!B:CR,27,FALSE),0)</f>
        <v>19</v>
      </c>
      <c r="AD19" s="362">
        <f t="shared" si="3"/>
        <v>6.8085106382978725E-2</v>
      </c>
      <c r="AE19" s="408">
        <f>IFERROR(VLOOKUP(B19,'Staff Engagement'!A:E,5,FALSE),0)</f>
        <v>5.7638888888888893</v>
      </c>
      <c r="AF19" s="409">
        <f>IFERROR(VLOOKUP(B19,'Previous Dashboard'!B:CQ,30,FALSE),0)</f>
        <v>6.1111111111111107</v>
      </c>
      <c r="AG19" s="112">
        <f>IFERROR(VLOOKUP(B19,'Staff Engagement'!A:E,2,FALSE),0)</f>
        <v>5.416666666666667</v>
      </c>
      <c r="AH19" s="409">
        <f>IFERROR(VLOOKUP(B19,'Previous Dashboard'!B:CQ,32,FALSE),0)</f>
        <v>5.7456140350877192</v>
      </c>
      <c r="AI19" s="110">
        <f>IFERROR(VLOOKUP(B19,'Staff Engagement'!A:E,3,FALSE),0)</f>
        <v>5.625</v>
      </c>
      <c r="AJ19" s="409">
        <f>IFERROR(VLOOKUP(B19,'Previous Dashboard'!B:CQ,34,FALSE),0)</f>
        <v>5.9210526315789478</v>
      </c>
      <c r="AK19" s="112">
        <f>IFERROR(VLOOKUP(B19,'Staff Engagement'!A:E,4,FALSE),0)</f>
        <v>6.25</v>
      </c>
      <c r="AL19" s="271">
        <f>IFERROR(VLOOKUP(B19,'Previous Dashboard'!B:CQ,36,FALSE),0)</f>
        <v>6.666666666666667</v>
      </c>
      <c r="AM19" s="386">
        <f>IFERROR(VLOOKUP(B19,'Patient Experience'!A:K,9,FALSE),0)</f>
        <v>0.86206896551724133</v>
      </c>
      <c r="AN19" s="60">
        <f>IFERROR(VLOOKUP(VLOOKUP($B19,'Pulse Mapping'!$A:$C,3,FALSE),'Pulse Survey'!$A:$J,'Pulse Survey'!C$1,FALSE),0)</f>
        <v>0.25</v>
      </c>
      <c r="AO19" s="63" cm="1">
        <f t="array" ref="AO19">_xlfn.IFS(AN19 = "-",0,AN19 &gt;=Benchmark!R$4,1,AN19&lt;Benchmark!R$4,0)</f>
        <v>0</v>
      </c>
      <c r="AP19" s="43">
        <f>IFERROR(VLOOKUP(B19,'Previous Dashboard'!B:CR,39,FALSE),0)</f>
        <v>0.52631578947368418</v>
      </c>
      <c r="AQ19" s="43">
        <f>IFERROR(VLOOKUP(VLOOKUP($B19,'Pulse Mapping'!$A:$C,3,FALSE),'Pulse Survey'!$A:$J,'Pulse Survey'!D$1,FALSE),0)</f>
        <v>0.5625</v>
      </c>
      <c r="AR19" s="63" cm="1">
        <f t="array" ref="AR19">_xlfn.IFS(AQ19 = "-",0,AQ19 &gt;=Benchmark!T$4,1,AQ19&lt;Benchmark!T$4,0)</f>
        <v>0</v>
      </c>
      <c r="AS19" s="24">
        <f>IFERROR(VLOOKUP(B19,'Previous Dashboard'!B:CR,42,FALSE),0)</f>
        <v>0.57894736842105265</v>
      </c>
      <c r="AT19" s="43">
        <f>IFERROR(VLOOKUP(VLOOKUP($B19,'Pulse Mapping'!$A:$C,3,FALSE),'Pulse Survey'!$A:$J,'Pulse Survey'!E$1,FALSE),0)</f>
        <v>0.4375</v>
      </c>
      <c r="AU19" s="63" cm="1">
        <f t="array" ref="AU19">_xlfn.IFS(AT19 = "-",0,AT19 &gt;=Benchmark!V$4,1,AT19&lt;Benchmark!V$4,0)</f>
        <v>0</v>
      </c>
      <c r="AV19" s="24">
        <f>IFERROR(VLOOKUP(B19,'Previous Dashboard'!B:CR,45,FALSE),0)</f>
        <v>0.52631578947368418</v>
      </c>
      <c r="AW19" s="43">
        <f>IFERROR(VLOOKUP(VLOOKUP($B19,'Pulse Mapping'!$A:$C,3,FALSE),'Pulse Survey'!$A:$J,'Pulse Survey'!F$1,FALSE),0)</f>
        <v>0.6875</v>
      </c>
      <c r="AX19" s="63" cm="1">
        <f t="array" ref="AX19">_xlfn.IFS(AW19 = "-",0,AW19 &gt;=Benchmark!X$4,1,AW19&lt;Benchmark!X$4,0)</f>
        <v>1</v>
      </c>
      <c r="AY19" s="24">
        <f>IFERROR(VLOOKUP(B19,'Previous Dashboard'!B:CR,48,FALSE),0)</f>
        <v>0.42105263157894735</v>
      </c>
      <c r="AZ19" s="43">
        <f>IFERROR(VLOOKUP(VLOOKUP($B19,'Pulse Mapping'!$A:$C,3,FALSE),'Pulse Survey'!$A:$J,'Pulse Survey'!G$1,FALSE),0)</f>
        <v>0.5</v>
      </c>
      <c r="BA19" s="63" cm="1">
        <f t="array" ref="BA19">_xlfn.IFS(AZ19 = "-",0,AZ19 &gt;=Benchmark!Z$4,1,AZ19&lt;Benchmark!Z$4,0)</f>
        <v>0</v>
      </c>
      <c r="BB19" s="24">
        <f>IFERROR(VLOOKUP(B19,'Previous Dashboard'!B:CR,51,FALSE),0)</f>
        <v>0.78947368421052633</v>
      </c>
      <c r="BC19" s="43">
        <f>IFERROR(VLOOKUP(VLOOKUP($B19,'Pulse Mapping'!$A:$C,3,FALSE),'Pulse Survey'!$A:$J,'Pulse Survey'!H$1,FALSE),0)</f>
        <v>0.5</v>
      </c>
      <c r="BD19" s="63" cm="1">
        <f t="array" ref="BD19">_xlfn.IFS(BC19 = "-",0,BC19 &gt;=Benchmark!AB$4,1,BC19&lt;Benchmark!AB$4,0)</f>
        <v>0</v>
      </c>
      <c r="BE19" s="24">
        <f>IFERROR(VLOOKUP(B19,'Previous Dashboard'!B:CR,54,FALSE),0)</f>
        <v>0.47368421052631576</v>
      </c>
      <c r="BF19" s="43">
        <f>IFERROR(VLOOKUP(VLOOKUP($B19,'Pulse Mapping'!$A:$C,3,FALSE),'Pulse Survey'!$A:$J,'Pulse Survey'!I$1,FALSE),0)</f>
        <v>0.625</v>
      </c>
      <c r="BG19" s="63" cm="1">
        <f t="array" ref="BG19">_xlfn.IFS(BF19 = "-",0,BF19 &gt;=Benchmark!AD$4,1,BF19&lt;Benchmark!AD$4,0)</f>
        <v>0</v>
      </c>
      <c r="BH19" s="91">
        <f>IFERROR(VLOOKUP(B19,'Previous Dashboard'!B:CR,57,FALSE),0)</f>
        <v>0.63157894736842102</v>
      </c>
      <c r="BI19" s="44">
        <f>IFERROR(VLOOKUP(VLOOKUP($B19,'Pulse Mapping'!$A:$C,3,FALSE),'Pulse Survey'!$A:$J,'Pulse Survey'!J$1,FALSE),0)</f>
        <v>0.3125</v>
      </c>
      <c r="BJ19" s="63" cm="1">
        <f t="array" ref="BJ19">_xlfn.IFS(BI19 = "-",0,BI19 &gt;=Benchmark!AF$4,1,BI19&lt;Benchmark!AF$4,0)</f>
        <v>0</v>
      </c>
      <c r="BK19" s="145">
        <f>IFERROR(VLOOKUP(B19,'Previous Dashboard'!B:CR,60,FALSE),0)</f>
        <v>0.31578947368421051</v>
      </c>
      <c r="BL19" s="224">
        <f t="shared" si="4"/>
        <v>1</v>
      </c>
      <c r="BM19" s="325">
        <f>IFERROR(VLOOKUP(B19,'Previous Dashboard'!B:CR,63,FALSE),0)</f>
        <v>1</v>
      </c>
      <c r="BN19" s="285">
        <f t="shared" si="5"/>
        <v>2</v>
      </c>
      <c r="BO19" s="190">
        <f>IFERROR(VLOOKUP(B19,'Previous Dashboard'!B:CR,65,FALSE),0)</f>
        <v>2</v>
      </c>
      <c r="BP19" s="25">
        <f>IFERROR(VLOOKUP(B19,'Previous Dashboard'!B:CR,66,FALSE),0)</f>
        <v>1</v>
      </c>
      <c r="BQ19" s="288">
        <f>IFERROR(VLOOKUP(B19,'Previous Dashboard'!B:CR,67,FALSE),0)</f>
        <v>5</v>
      </c>
      <c r="BR19" s="99"/>
      <c r="BS19" s="403">
        <f>IFERROR(VLOOKUP(B19,'Staff Survey'!B:L,3,FALSE),"-")</f>
        <v>6.8</v>
      </c>
      <c r="BT19" s="401" t="s">
        <v>389</v>
      </c>
      <c r="BU19" s="136">
        <f>IFERROR(VLOOKUP(B19,'Staff Survey'!B:L,4,FALSE),"-")</f>
        <v>5.5</v>
      </c>
      <c r="BV19" s="399" t="s">
        <v>389</v>
      </c>
      <c r="BW19" s="403">
        <f>IFERROR(VLOOKUP(B19,'Staff Survey'!B:L,5,FALSE),"-")</f>
        <v>6.4</v>
      </c>
      <c r="BX19" s="402" t="s">
        <v>389</v>
      </c>
      <c r="BY19" s="403">
        <f>IFERROR(VLOOKUP(B19,'Staff Survey'!B:L,6,FALSE),"-")</f>
        <v>5.0999999999999996</v>
      </c>
      <c r="BZ19" s="402" t="s">
        <v>389</v>
      </c>
      <c r="CA19" s="403">
        <f>IFERROR(VLOOKUP(B19,'Staff Survey'!B:L,7,FALSE),"-")</f>
        <v>5.0999999999999996</v>
      </c>
      <c r="CB19" s="428" t="s">
        <v>389</v>
      </c>
      <c r="CC19" s="403">
        <f>IFERROR(VLOOKUP(B19,'Staff Survey'!B:L,8,FALSE),"-")</f>
        <v>5.5</v>
      </c>
      <c r="CD19" s="428" t="s">
        <v>389</v>
      </c>
      <c r="CE19" s="403">
        <f>IFERROR(VLOOKUP(B19,'Staff Survey'!B:L,9,FALSE),"-")</f>
        <v>6.1</v>
      </c>
      <c r="CF19" s="428" t="s">
        <v>389</v>
      </c>
      <c r="CG19" s="140">
        <f>IFERROR(VLOOKUP(B19,'Staff Survey'!B:L,10,FALSE),"-")</f>
        <v>6.5</v>
      </c>
      <c r="CH19" s="277">
        <v>6.8</v>
      </c>
      <c r="CI19" s="412">
        <f>IFERROR(VLOOKUP(B19,'Staff Survey'!B:L,11,FALSE),"-")</f>
        <v>5.2</v>
      </c>
      <c r="CJ19" s="111">
        <v>6</v>
      </c>
      <c r="CL19" s="119">
        <f>IFERROR(VLOOKUP(B19,'LfE . HR Ops . F2SU'!A:B,2,FALSE),0)</f>
        <v>13</v>
      </c>
      <c r="CM19" s="119">
        <f>IFERROR(VLOOKUP(B19,'Previous Dashboard'!B:CR,89,FALSE),0)</f>
        <v>13</v>
      </c>
      <c r="CN19" s="124"/>
      <c r="CO19" s="125"/>
      <c r="CP19" s="126"/>
      <c r="CQ19" s="126"/>
    </row>
    <row r="20" spans="1:95" ht="15" customHeight="1" x14ac:dyDescent="0.25">
      <c r="A20" s="650" t="s">
        <v>295</v>
      </c>
      <c r="B20" s="543" t="s">
        <v>42</v>
      </c>
      <c r="C20" s="310">
        <f>IFERROR(VLOOKUP(B20,'Staff In Post'!A:C,3,FALSE),0)</f>
        <v>146</v>
      </c>
      <c r="D20" s="246">
        <f>IFERROR(VLOOKUP(B20,'Mandatory Training'!A:C,3,FALSE),0)</f>
        <v>0.70833333333333337</v>
      </c>
      <c r="E20" s="24">
        <f>IFERROR(VLOOKUP(B20,'Previous Dashboard'!B:CR,3,FALSE),0)</f>
        <v>0.57777777777777772</v>
      </c>
      <c r="F20" s="63">
        <f>IF(D20&gt;=Benchmark!C$4,1,0)</f>
        <v>0</v>
      </c>
      <c r="G20" s="17">
        <f>IFERROR(VLOOKUP(B20,Appraisals!A:C,3,FALSE),0)</f>
        <v>0.94444444444444442</v>
      </c>
      <c r="H20" s="24">
        <f>IFERROR(VLOOKUP(B20,'Previous Dashboard'!B:CR,6,FALSE),0)</f>
        <v>0.66666666666666663</v>
      </c>
      <c r="I20" s="63">
        <f>IF(G20&gt;=Benchmark!E$4,1,0)</f>
        <v>1</v>
      </c>
      <c r="J20" s="59">
        <f t="shared" si="0"/>
        <v>0.82638888888888884</v>
      </c>
      <c r="K20" s="91">
        <f t="shared" si="1"/>
        <v>0.62222222222222223</v>
      </c>
      <c r="L20" s="63">
        <f>IF(J20&gt;=Benchmark!G$4,1,0)</f>
        <v>0</v>
      </c>
      <c r="M20" s="51">
        <f>IFERROR(VLOOKUP(B20,Stress!A:D,4,FALSE),"-")</f>
        <v>1.8338402976019502E-2</v>
      </c>
      <c r="N20" s="60">
        <f>IFERROR(VLOOKUP(B20,'Previous Dashboard'!B:CR,12,FALSE),0)</f>
        <v>1.0680850899456701E-2</v>
      </c>
      <c r="O20" s="52">
        <f>IFERROR(VLOOKUP(B20,'Musculo Skeletal'!A:D,4,FALSE),"-")</f>
        <v>0</v>
      </c>
      <c r="P20" s="43">
        <f>IFERROR(VLOOKUP(B20,'Previous Dashboard'!B:CR,14,FALSE),0)</f>
        <v>0</v>
      </c>
      <c r="Q20" s="52">
        <f>IFERROR(VLOOKUP(B20,'All Sickness'!A:D,4,FALSE),"-")</f>
        <v>3.3809293678367498E-2</v>
      </c>
      <c r="R20" s="43">
        <f>IFERROR(VLOOKUP(B20,'Previous Dashboard'!B:CR,16,FALSE),0)</f>
        <v>3.4665113690008797E-2</v>
      </c>
      <c r="S20" s="63">
        <f>IF(Q20&lt;=Benchmark!K$4,1,0)</f>
        <v>1</v>
      </c>
      <c r="T20" s="44">
        <f>IFERROR(VLOOKUP(B20,LT.ST!A:C,3,FALSE),"-")</f>
        <v>1.8338402976019502E-2</v>
      </c>
      <c r="U20" s="43">
        <f>IFERROR(VLOOKUP(B20,'Previous Dashboard'!B:CR,19,FALSE),0)</f>
        <v>1.9386871338435599E-2</v>
      </c>
      <c r="V20" s="42">
        <f>IFERROR(VLOOKUP(B20,Turnover!A:C,2,FALSE),0)</f>
        <v>1.0752688172042999E-2</v>
      </c>
      <c r="W20" s="60">
        <f>IFERROR(VLOOKUP(B20,'Previous Dashboard'!B:CR,21,FALSE),0)</f>
        <v>1.18343195266272E-2</v>
      </c>
      <c r="X20" s="63">
        <f>IF(V20&lt;=Benchmark!N$4,1,0)</f>
        <v>1</v>
      </c>
      <c r="Y20" s="159">
        <f>IFERROR(VLOOKUP(B20,Leavers!A:I,6,FALSE),0)</f>
        <v>1</v>
      </c>
      <c r="Z20" s="247">
        <f t="shared" si="2"/>
        <v>2</v>
      </c>
      <c r="AA20" s="298">
        <f>IFERROR(VLOOKUP(B20,'Previous Dashboard'!B:CR,25,FALSE),0)</f>
        <v>2</v>
      </c>
      <c r="AB20" s="188">
        <f>IFERROR(VLOOKUP(VLOOKUP($B20,'Pulse Mapping'!$A:$C,3,FALSE),'Pulse Survey'!$A:$J,2,FALSE),0)</f>
        <v>19</v>
      </c>
      <c r="AC20" s="25">
        <f>IFERROR(VLOOKUP(B20,'Previous Dashboard'!B:CR,27,FALSE),0)</f>
        <v>25</v>
      </c>
      <c r="AD20" s="362">
        <f t="shared" si="3"/>
        <v>0.13013698630136986</v>
      </c>
      <c r="AE20" s="408">
        <f>IFERROR(VLOOKUP(B20,'Staff Engagement'!A:E,5,FALSE),0)</f>
        <v>5.9210526315789478</v>
      </c>
      <c r="AF20" s="409">
        <f>IFERROR(VLOOKUP(B20,'Previous Dashboard'!B:CQ,30,FALSE),0)</f>
        <v>6.9777777777777779</v>
      </c>
      <c r="AG20" s="112">
        <f>IFERROR(VLOOKUP(B20,'Staff Engagement'!A:E,2,FALSE),0)</f>
        <v>5.833333333333333</v>
      </c>
      <c r="AH20" s="409">
        <f>IFERROR(VLOOKUP(B20,'Previous Dashboard'!B:CQ,32,FALSE),0)</f>
        <v>6.9</v>
      </c>
      <c r="AI20" s="110">
        <f>IFERROR(VLOOKUP(B20,'Staff Engagement'!A:E,3,FALSE),0)</f>
        <v>5.833333333333333</v>
      </c>
      <c r="AJ20" s="409">
        <f>IFERROR(VLOOKUP(B20,'Previous Dashboard'!B:CQ,34,FALSE),0)</f>
        <v>6.7333333333333334</v>
      </c>
      <c r="AK20" s="112">
        <f>IFERROR(VLOOKUP(B20,'Staff Engagement'!A:E,4,FALSE),0)</f>
        <v>6.0964912280701755</v>
      </c>
      <c r="AL20" s="271">
        <f>IFERROR(VLOOKUP(B20,'Previous Dashboard'!B:CQ,36,FALSE),0)</f>
        <v>7.3</v>
      </c>
      <c r="AM20" s="386">
        <f>IFERROR(VLOOKUP(B20,'Patient Experience'!A:K,9,FALSE),0)</f>
        <v>1</v>
      </c>
      <c r="AN20" s="60">
        <f>IFERROR(VLOOKUP(VLOOKUP($B20,'Pulse Mapping'!$A:$C,3,FALSE),'Pulse Survey'!$A:$J,'Pulse Survey'!C$1,FALSE),0)</f>
        <v>0.42105263157894735</v>
      </c>
      <c r="AO20" s="63" cm="1">
        <f t="array" ref="AO20">_xlfn.IFS(AN20 = "-",0,AN20 &gt;=Benchmark!R$4,1,AN20&lt;Benchmark!R$4,0)</f>
        <v>0</v>
      </c>
      <c r="AP20" s="43">
        <f>IFERROR(VLOOKUP(B20,'Previous Dashboard'!B:CR,39,FALSE),0)</f>
        <v>0.68</v>
      </c>
      <c r="AQ20" s="43">
        <f>IFERROR(VLOOKUP(VLOOKUP($B20,'Pulse Mapping'!$A:$C,3,FALSE),'Pulse Survey'!$A:$J,'Pulse Survey'!D$1,FALSE),0)</f>
        <v>0.36842105263157893</v>
      </c>
      <c r="AR20" s="63" cm="1">
        <f t="array" ref="AR20">_xlfn.IFS(AQ20 = "-",0,AQ20 &gt;=Benchmark!T$4,1,AQ20&lt;Benchmark!T$4,0)</f>
        <v>0</v>
      </c>
      <c r="AS20" s="24">
        <f>IFERROR(VLOOKUP(B20,'Previous Dashboard'!B:CR,42,FALSE),0)</f>
        <v>0.6</v>
      </c>
      <c r="AT20" s="43">
        <f>IFERROR(VLOOKUP(VLOOKUP($B20,'Pulse Mapping'!$A:$C,3,FALSE),'Pulse Survey'!$A:$J,'Pulse Survey'!E$1,FALSE),0)</f>
        <v>0.42105263157894735</v>
      </c>
      <c r="AU20" s="63" cm="1">
        <f t="array" ref="AU20">_xlfn.IFS(AT20 = "-",0,AT20 &gt;=Benchmark!V$4,1,AT20&lt;Benchmark!V$4,0)</f>
        <v>0</v>
      </c>
      <c r="AV20" s="24">
        <f>IFERROR(VLOOKUP(B20,'Previous Dashboard'!B:CR,45,FALSE),0)</f>
        <v>0.44000000000000006</v>
      </c>
      <c r="AW20" s="43">
        <f>IFERROR(VLOOKUP(VLOOKUP($B20,'Pulse Mapping'!$A:$C,3,FALSE),'Pulse Survey'!$A:$J,'Pulse Survey'!F$1,FALSE),0)</f>
        <v>0.57894736842105265</v>
      </c>
      <c r="AX20" s="63" cm="1">
        <f t="array" ref="AX20">_xlfn.IFS(AW20 = "-",0,AW20 &gt;=Benchmark!X$4,1,AW20&lt;Benchmark!X$4,0)</f>
        <v>0</v>
      </c>
      <c r="AY20" s="24">
        <f>IFERROR(VLOOKUP(B20,'Previous Dashboard'!B:CR,48,FALSE),0)</f>
        <v>0.76</v>
      </c>
      <c r="AZ20" s="43">
        <f>IFERROR(VLOOKUP(VLOOKUP($B20,'Pulse Mapping'!$A:$C,3,FALSE),'Pulse Survey'!$A:$J,'Pulse Survey'!G$1,FALSE),0)</f>
        <v>0.63157894736842102</v>
      </c>
      <c r="BA20" s="63" cm="1">
        <f t="array" ref="BA20">_xlfn.IFS(AZ20 = "-",0,AZ20 &gt;=Benchmark!Z$4,1,AZ20&lt;Benchmark!Z$4,0)</f>
        <v>0</v>
      </c>
      <c r="BB20" s="24">
        <f>IFERROR(VLOOKUP(B20,'Previous Dashboard'!B:CR,51,FALSE),0)</f>
        <v>0.76</v>
      </c>
      <c r="BC20" s="43">
        <f>IFERROR(VLOOKUP(VLOOKUP($B20,'Pulse Mapping'!$A:$C,3,FALSE),'Pulse Survey'!$A:$J,'Pulse Survey'!H$1,FALSE),0)</f>
        <v>0.68421052631578938</v>
      </c>
      <c r="BD20" s="63" cm="1">
        <f t="array" ref="BD20">_xlfn.IFS(BC20 = "-",0,BC20 &gt;=Benchmark!AB$4,1,BC20&lt;Benchmark!AB$4,0)</f>
        <v>1</v>
      </c>
      <c r="BE20" s="24">
        <f>IFERROR(VLOOKUP(B20,'Previous Dashboard'!B:CR,54,FALSE),0)</f>
        <v>0.76</v>
      </c>
      <c r="BF20" s="43">
        <f>IFERROR(VLOOKUP(VLOOKUP($B20,'Pulse Mapping'!$A:$C,3,FALSE),'Pulse Survey'!$A:$J,'Pulse Survey'!I$1,FALSE),0)</f>
        <v>0.68421052631578949</v>
      </c>
      <c r="BG20" s="63" cm="1">
        <f t="array" ref="BG20">_xlfn.IFS(BF20 = "-",0,BF20 &gt;=Benchmark!AD$4,1,BF20&lt;Benchmark!AD$4,0)</f>
        <v>1</v>
      </c>
      <c r="BH20" s="91">
        <f>IFERROR(VLOOKUP(B20,'Previous Dashboard'!B:CR,57,FALSE),0)</f>
        <v>0.72</v>
      </c>
      <c r="BI20" s="44">
        <f>IFERROR(VLOOKUP(VLOOKUP($B20,'Pulse Mapping'!$A:$C,3,FALSE),'Pulse Survey'!$A:$J,'Pulse Survey'!J$1,FALSE),0)</f>
        <v>0.68421052631578938</v>
      </c>
      <c r="BJ20" s="63" cm="1">
        <f t="array" ref="BJ20">_xlfn.IFS(BI20 = "-",0,BI20 &gt;=Benchmark!AF$4,1,BI20&lt;Benchmark!AF$4,0)</f>
        <v>1</v>
      </c>
      <c r="BK20" s="145">
        <f>IFERROR(VLOOKUP(B20,'Previous Dashboard'!B:CR,60,FALSE),0)</f>
        <v>0.67999999999999994</v>
      </c>
      <c r="BL20" s="224">
        <f t="shared" si="4"/>
        <v>3</v>
      </c>
      <c r="BM20" s="325">
        <f>IFERROR(VLOOKUP(B20,'Previous Dashboard'!B:CR,63,FALSE),0)</f>
        <v>6</v>
      </c>
      <c r="BN20" s="285">
        <f t="shared" si="5"/>
        <v>5</v>
      </c>
      <c r="BO20" s="190">
        <f>IFERROR(VLOOKUP(B20,'Previous Dashboard'!B:CR,65,FALSE),0)</f>
        <v>8</v>
      </c>
      <c r="BP20" s="25">
        <f>IFERROR(VLOOKUP(B20,'Previous Dashboard'!B:CR,66,FALSE),0)</f>
        <v>1</v>
      </c>
      <c r="BQ20" s="288">
        <f>IFERROR(VLOOKUP(B20,'Previous Dashboard'!B:CR,67,FALSE),0)</f>
        <v>4</v>
      </c>
      <c r="BR20" s="99"/>
      <c r="BS20" s="403">
        <f>IFERROR(VLOOKUP(B20,'Staff Survey'!B:L,3,FALSE),"-")</f>
        <v>6.7</v>
      </c>
      <c r="BT20" s="401" t="s">
        <v>389</v>
      </c>
      <c r="BU20" s="136">
        <f>IFERROR(VLOOKUP(B20,'Staff Survey'!B:L,4,FALSE),"-")</f>
        <v>5.0999999999999996</v>
      </c>
      <c r="BV20" s="399" t="s">
        <v>389</v>
      </c>
      <c r="BW20" s="403">
        <f>IFERROR(VLOOKUP(B20,'Staff Survey'!B:L,5,FALSE),"-")</f>
        <v>6.1</v>
      </c>
      <c r="BX20" s="402" t="s">
        <v>389</v>
      </c>
      <c r="BY20" s="403">
        <f>IFERROR(VLOOKUP(B20,'Staff Survey'!B:L,6,FALSE),"-")</f>
        <v>5.3</v>
      </c>
      <c r="BZ20" s="402" t="s">
        <v>389</v>
      </c>
      <c r="CA20" s="403">
        <f>IFERROR(VLOOKUP(B20,'Staff Survey'!B:L,7,FALSE),"-")</f>
        <v>4.8</v>
      </c>
      <c r="CB20" s="428" t="s">
        <v>389</v>
      </c>
      <c r="CC20" s="403">
        <f>IFERROR(VLOOKUP(B20,'Staff Survey'!B:L,8,FALSE),"-")</f>
        <v>5.2</v>
      </c>
      <c r="CD20" s="428" t="s">
        <v>389</v>
      </c>
      <c r="CE20" s="403">
        <f>IFERROR(VLOOKUP(B20,'Staff Survey'!B:L,9,FALSE),"-")</f>
        <v>6</v>
      </c>
      <c r="CF20" s="428" t="s">
        <v>389</v>
      </c>
      <c r="CG20" s="140">
        <f>IFERROR(VLOOKUP(B20,'Staff Survey'!B:L,10,FALSE),"-")</f>
        <v>6.2</v>
      </c>
      <c r="CH20" s="409">
        <v>6.8</v>
      </c>
      <c r="CI20" s="412">
        <f>IFERROR(VLOOKUP(B20,'Staff Survey'!B:L,11,FALSE),"-")</f>
        <v>5.2</v>
      </c>
      <c r="CJ20" s="271">
        <v>6.1</v>
      </c>
      <c r="CL20" s="119">
        <f>IFERROR(VLOOKUP(B20,'LfE . HR Ops . F2SU'!A:B,2,FALSE),0)</f>
        <v>26</v>
      </c>
      <c r="CM20" s="119">
        <f>IFERROR(VLOOKUP(B20,'Previous Dashboard'!B:CR,89,FALSE),0)</f>
        <v>34</v>
      </c>
      <c r="CN20" s="124"/>
      <c r="CO20" s="125"/>
      <c r="CP20" s="126"/>
      <c r="CQ20" s="126"/>
    </row>
    <row r="21" spans="1:95" x14ac:dyDescent="0.25">
      <c r="A21" s="651"/>
      <c r="B21" s="543" t="s">
        <v>43</v>
      </c>
      <c r="C21" s="310">
        <f>IFERROR(VLOOKUP(B21,'Staff In Post'!A:C,3,FALSE),0)</f>
        <v>343</v>
      </c>
      <c r="D21" s="246">
        <f>IFERROR(VLOOKUP(B21,'Mandatory Training'!A:C,3,FALSE),0)</f>
        <v>0.69055374592833874</v>
      </c>
      <c r="E21" s="24">
        <f>IFERROR(VLOOKUP(B21,'Previous Dashboard'!B:CR,3,FALSE),0)</f>
        <v>0.5852842809364549</v>
      </c>
      <c r="F21" s="63">
        <f>IF(D21&gt;=Benchmark!C$4,1,0)</f>
        <v>0</v>
      </c>
      <c r="G21" s="17">
        <f>IFERROR(VLOOKUP(B21,Appraisals!A:C,3,FALSE),0)</f>
        <v>0.88209606986899558</v>
      </c>
      <c r="H21" s="24">
        <f>IFERROR(VLOOKUP(B21,'Previous Dashboard'!B:CR,6,FALSE),0)</f>
        <v>0.85520361990950222</v>
      </c>
      <c r="I21" s="63">
        <f>IF(G21&gt;=Benchmark!E$4,1,0)</f>
        <v>0</v>
      </c>
      <c r="J21" s="59">
        <f t="shared" si="0"/>
        <v>0.78632490789866716</v>
      </c>
      <c r="K21" s="91">
        <f t="shared" si="1"/>
        <v>0.72024395042297851</v>
      </c>
      <c r="L21" s="63">
        <f>IF(J21&gt;=Benchmark!G$4,1,0)</f>
        <v>0</v>
      </c>
      <c r="M21" s="51">
        <f>IFERROR(VLOOKUP(B21,Stress!A:D,4,FALSE),"-")</f>
        <v>5.5380150642871601E-3</v>
      </c>
      <c r="N21" s="60">
        <f>IFERROR(VLOOKUP(B21,'Previous Dashboard'!B:CR,12,FALSE),0)</f>
        <v>2.9395671124294699E-3</v>
      </c>
      <c r="O21" s="52">
        <f>IFERROR(VLOOKUP(B21,'Musculo Skeletal'!A:D,4,FALSE),"-")</f>
        <v>1.0654331888252299E-2</v>
      </c>
      <c r="P21" s="43">
        <f>IFERROR(VLOOKUP(B21,'Previous Dashboard'!B:CR,14,FALSE),0)</f>
        <v>9.0380930274154801E-3</v>
      </c>
      <c r="Q21" s="52">
        <f>IFERROR(VLOOKUP(B21,'All Sickness'!A:D,4,FALSE),"-")</f>
        <v>6.5066044078261803E-2</v>
      </c>
      <c r="R21" s="43">
        <f>IFERROR(VLOOKUP(B21,'Previous Dashboard'!B:CR,16,FALSE),0)</f>
        <v>7.1871451543076004E-2</v>
      </c>
      <c r="S21" s="63">
        <f>IF(Q21&lt;=Benchmark!K$4,1,0)</f>
        <v>0</v>
      </c>
      <c r="T21" s="44">
        <f>IFERROR(VLOOKUP(B21,LT.ST!A:C,3,FALSE),"-")</f>
        <v>3.4824184133896104E-2</v>
      </c>
      <c r="U21" s="43">
        <f>IFERROR(VLOOKUP(B21,'Previous Dashboard'!B:CR,19,FALSE),0)</f>
        <v>3.9115879471666698E-2</v>
      </c>
      <c r="V21" s="42">
        <f>IFERROR(VLOOKUP(B21,Turnover!A:C,2,FALSE),0)</f>
        <v>2.1943573667711599E-2</v>
      </c>
      <c r="W21" s="60">
        <f>IFERROR(VLOOKUP(B21,'Previous Dashboard'!B:CR,21,FALSE),0)</f>
        <v>3.12989045383412E-2</v>
      </c>
      <c r="X21" s="63">
        <f>IF(V21&lt;=Benchmark!N$4,1,0)</f>
        <v>1</v>
      </c>
      <c r="Y21" s="159">
        <f>IFERROR(VLOOKUP(B21,Leavers!A:I,6,FALSE),0)</f>
        <v>7</v>
      </c>
      <c r="Z21" s="247">
        <f t="shared" si="2"/>
        <v>1</v>
      </c>
      <c r="AA21" s="298">
        <f>IFERROR(VLOOKUP(B21,'Previous Dashboard'!B:CR,25,FALSE),0)</f>
        <v>1</v>
      </c>
      <c r="AB21" s="188">
        <f>IFERROR(VLOOKUP(VLOOKUP($B21,'Pulse Mapping'!$A:$C,3,FALSE),'Pulse Survey'!$A:$J,2,FALSE),0)</f>
        <v>38</v>
      </c>
      <c r="AC21" s="25">
        <f>IFERROR(VLOOKUP(B21,'Previous Dashboard'!B:CR,27,FALSE),0)</f>
        <v>26</v>
      </c>
      <c r="AD21" s="362">
        <f t="shared" si="3"/>
        <v>0.11078717201166181</v>
      </c>
      <c r="AE21" s="408">
        <f>IFERROR(VLOOKUP(B21,'Staff Engagement'!A:E,5,FALSE),0)</f>
        <v>6.0160818713450297</v>
      </c>
      <c r="AF21" s="409">
        <f>IFERROR(VLOOKUP(B21,'Previous Dashboard'!B:CQ,30,FALSE),0)</f>
        <v>6.7521367521367512</v>
      </c>
      <c r="AG21" s="112">
        <f>IFERROR(VLOOKUP(B21,'Staff Engagement'!A:E,2,FALSE),0)</f>
        <v>5.8552631578947372</v>
      </c>
      <c r="AH21" s="409">
        <f>IFERROR(VLOOKUP(B21,'Previous Dashboard'!B:CQ,32,FALSE),0)</f>
        <v>6.8910256410256414</v>
      </c>
      <c r="AI21" s="110">
        <f>IFERROR(VLOOKUP(B21,'Staff Engagement'!A:E,3,FALSE),0)</f>
        <v>5.7456140350877192</v>
      </c>
      <c r="AJ21" s="409">
        <f>IFERROR(VLOOKUP(B21,'Previous Dashboard'!B:CQ,34,FALSE),0)</f>
        <v>6.4423076923076925</v>
      </c>
      <c r="AK21" s="112">
        <f>IFERROR(VLOOKUP(B21,'Staff Engagement'!A:E,4,FALSE),0)</f>
        <v>6.4473684210526319</v>
      </c>
      <c r="AL21" s="271">
        <f>IFERROR(VLOOKUP(B21,'Previous Dashboard'!B:CQ,36,FALSE),0)</f>
        <v>6.9230769230769234</v>
      </c>
      <c r="AM21" s="386">
        <f>IFERROR(VLOOKUP(B21,'Patient Experience'!A:K,9,FALSE),0)</f>
        <v>0.95652173913043481</v>
      </c>
      <c r="AN21" s="60">
        <f>IFERROR(VLOOKUP(VLOOKUP($B21,'Pulse Mapping'!$A:$C,3,FALSE),'Pulse Survey'!$A:$J,'Pulse Survey'!C$1,FALSE),0)</f>
        <v>0.47368421052631576</v>
      </c>
      <c r="AO21" s="63" cm="1">
        <f t="array" ref="AO21">_xlfn.IFS(AN21 = "-",0,AN21 &gt;=Benchmark!R$4,1,AN21&lt;Benchmark!R$4,0)</f>
        <v>0</v>
      </c>
      <c r="AP21" s="43">
        <f>IFERROR(VLOOKUP(B21,'Previous Dashboard'!B:CR,39,FALSE),0)</f>
        <v>0.65384615384615374</v>
      </c>
      <c r="AQ21" s="43">
        <f>IFERROR(VLOOKUP(VLOOKUP($B21,'Pulse Mapping'!$A:$C,3,FALSE),'Pulse Survey'!$A:$J,'Pulse Survey'!D$1,FALSE),0)</f>
        <v>0.52631578947368418</v>
      </c>
      <c r="AR21" s="63" cm="1">
        <f t="array" ref="AR21">_xlfn.IFS(AQ21 = "-",0,AQ21 &gt;=Benchmark!T$4,1,AQ21&lt;Benchmark!T$4,0)</f>
        <v>0</v>
      </c>
      <c r="AS21" s="24">
        <f>IFERROR(VLOOKUP(B21,'Previous Dashboard'!B:CR,42,FALSE),0)</f>
        <v>0.73076923076923073</v>
      </c>
      <c r="AT21" s="43">
        <f>IFERROR(VLOOKUP(VLOOKUP($B21,'Pulse Mapping'!$A:$C,3,FALSE),'Pulse Survey'!$A:$J,'Pulse Survey'!E$1,FALSE),0)</f>
        <v>0.34210526315789469</v>
      </c>
      <c r="AU21" s="63" cm="1">
        <f t="array" ref="AU21">_xlfn.IFS(AT21 = "-",0,AT21 &gt;=Benchmark!V$4,1,AT21&lt;Benchmark!V$4,0)</f>
        <v>0</v>
      </c>
      <c r="AV21" s="24">
        <f>IFERROR(VLOOKUP(B21,'Previous Dashboard'!B:CR,45,FALSE),0)</f>
        <v>0.53846153846153844</v>
      </c>
      <c r="AW21" s="43">
        <f>IFERROR(VLOOKUP(VLOOKUP($B21,'Pulse Mapping'!$A:$C,3,FALSE),'Pulse Survey'!$A:$J,'Pulse Survey'!F$1,FALSE),0)</f>
        <v>0.52631578947368418</v>
      </c>
      <c r="AX21" s="63" cm="1">
        <f t="array" ref="AX21">_xlfn.IFS(AW21 = "-",0,AW21 &gt;=Benchmark!X$4,1,AW21&lt;Benchmark!X$4,0)</f>
        <v>0</v>
      </c>
      <c r="AY21" s="24">
        <f>IFERROR(VLOOKUP(B21,'Previous Dashboard'!B:CR,48,FALSE),0)</f>
        <v>0.69230769230769229</v>
      </c>
      <c r="AZ21" s="43">
        <f>IFERROR(VLOOKUP(VLOOKUP($B21,'Pulse Mapping'!$A:$C,3,FALSE),'Pulse Survey'!$A:$J,'Pulse Survey'!G$1,FALSE),0)</f>
        <v>0.52631578947368418</v>
      </c>
      <c r="BA21" s="63" cm="1">
        <f t="array" ref="BA21">_xlfn.IFS(AZ21 = "-",0,AZ21 &gt;=Benchmark!Z$4,1,AZ21&lt;Benchmark!Z$4,0)</f>
        <v>0</v>
      </c>
      <c r="BB21" s="24">
        <f>IFERROR(VLOOKUP(B21,'Previous Dashboard'!B:CR,51,FALSE),0)</f>
        <v>0.69230769230769229</v>
      </c>
      <c r="BC21" s="43">
        <f>IFERROR(VLOOKUP(VLOOKUP($B21,'Pulse Mapping'!$A:$C,3,FALSE),'Pulse Survey'!$A:$J,'Pulse Survey'!H$1,FALSE),0)</f>
        <v>0.52631578947368418</v>
      </c>
      <c r="BD21" s="63" cm="1">
        <f t="array" ref="BD21">_xlfn.IFS(BC21 = "-",0,BC21 &gt;=Benchmark!AB$4,1,BC21&lt;Benchmark!AB$4,0)</f>
        <v>0</v>
      </c>
      <c r="BE21" s="24">
        <f>IFERROR(VLOOKUP(B21,'Previous Dashboard'!B:CR,54,FALSE),0)</f>
        <v>0.53846153846153855</v>
      </c>
      <c r="BF21" s="43">
        <f>IFERROR(VLOOKUP(VLOOKUP($B21,'Pulse Mapping'!$A:$C,3,FALSE),'Pulse Survey'!$A:$J,'Pulse Survey'!I$1,FALSE),0)</f>
        <v>0.57894736842105265</v>
      </c>
      <c r="BG21" s="63" cm="1">
        <f t="array" ref="BG21">_xlfn.IFS(BF21 = "-",0,BF21 &gt;=Benchmark!AD$4,1,BF21&lt;Benchmark!AD$4,0)</f>
        <v>0</v>
      </c>
      <c r="BH21" s="91">
        <f>IFERROR(VLOOKUP(B21,'Previous Dashboard'!B:CR,57,FALSE),0)</f>
        <v>0.69230769230769229</v>
      </c>
      <c r="BI21" s="44">
        <f>IFERROR(VLOOKUP(VLOOKUP($B21,'Pulse Mapping'!$A:$C,3,FALSE),'Pulse Survey'!$A:$J,'Pulse Survey'!J$1,FALSE),0)</f>
        <v>0.52631578947368418</v>
      </c>
      <c r="BJ21" s="63" cm="1">
        <f t="array" ref="BJ21">_xlfn.IFS(BI21 = "-",0,BI21 &gt;=Benchmark!AF$4,1,BI21&lt;Benchmark!AF$4,0)</f>
        <v>0</v>
      </c>
      <c r="BK21" s="145">
        <f>IFERROR(VLOOKUP(B21,'Previous Dashboard'!B:CR,60,FALSE),0)</f>
        <v>0.65384615384615385</v>
      </c>
      <c r="BL21" s="224">
        <f t="shared" si="4"/>
        <v>0</v>
      </c>
      <c r="BM21" s="325">
        <f>IFERROR(VLOOKUP(B21,'Previous Dashboard'!B:CR,63,FALSE),0)</f>
        <v>4</v>
      </c>
      <c r="BN21" s="285">
        <f t="shared" si="5"/>
        <v>1</v>
      </c>
      <c r="BO21" s="190">
        <f>IFERROR(VLOOKUP(B21,'Previous Dashboard'!B:CR,65,FALSE),0)</f>
        <v>5</v>
      </c>
      <c r="BP21" s="25">
        <f>IFERROR(VLOOKUP(B21,'Previous Dashboard'!B:CR,66,FALSE),0)</f>
        <v>1</v>
      </c>
      <c r="BQ21" s="288">
        <f>IFERROR(VLOOKUP(B21,'Previous Dashboard'!B:CR,67,FALSE),0)</f>
        <v>4</v>
      </c>
      <c r="BR21" s="99"/>
      <c r="BS21" s="403">
        <f>IFERROR(VLOOKUP(B21,'Staff Survey'!B:L,3,FALSE),"-")</f>
        <v>7.1</v>
      </c>
      <c r="BT21" s="401" t="s">
        <v>389</v>
      </c>
      <c r="BU21" s="136">
        <f>IFERROR(VLOOKUP(B21,'Staff Survey'!B:L,4,FALSE),"-")</f>
        <v>5.6</v>
      </c>
      <c r="BV21" s="399" t="s">
        <v>389</v>
      </c>
      <c r="BW21" s="403">
        <f>IFERROR(VLOOKUP(B21,'Staff Survey'!B:L,5,FALSE),"-")</f>
        <v>6.4</v>
      </c>
      <c r="BX21" s="402" t="s">
        <v>389</v>
      </c>
      <c r="BY21" s="403">
        <f>IFERROR(VLOOKUP(B21,'Staff Survey'!B:L,6,FALSE),"-")</f>
        <v>5.6</v>
      </c>
      <c r="BZ21" s="402" t="s">
        <v>389</v>
      </c>
      <c r="CA21" s="403">
        <f>IFERROR(VLOOKUP(B21,'Staff Survey'!B:L,7,FALSE),"-")</f>
        <v>5.5</v>
      </c>
      <c r="CB21" s="428" t="s">
        <v>389</v>
      </c>
      <c r="CC21" s="403">
        <f>IFERROR(VLOOKUP(B21,'Staff Survey'!B:L,8,FALSE),"-")</f>
        <v>5.8</v>
      </c>
      <c r="CD21" s="428" t="s">
        <v>389</v>
      </c>
      <c r="CE21" s="403">
        <f>IFERROR(VLOOKUP(B21,'Staff Survey'!B:L,9,FALSE),"-")</f>
        <v>6.5</v>
      </c>
      <c r="CF21" s="428" t="s">
        <v>389</v>
      </c>
      <c r="CG21" s="140">
        <f>IFERROR(VLOOKUP(B21,'Staff Survey'!B:L,10,FALSE),"-")</f>
        <v>6.4</v>
      </c>
      <c r="CH21" s="277">
        <v>6.5</v>
      </c>
      <c r="CI21" s="412">
        <f>IFERROR(VLOOKUP(B21,'Staff Survey'!B:L,11,FALSE),"-")</f>
        <v>5.5</v>
      </c>
      <c r="CJ21" s="111">
        <v>5.8</v>
      </c>
      <c r="CL21" s="119">
        <f>IFERROR(VLOOKUP(B21,'LfE . HR Ops . F2SU'!A:B,2,FALSE),0)</f>
        <v>13</v>
      </c>
      <c r="CM21" s="119">
        <f>IFERROR(VLOOKUP(B21,'Previous Dashboard'!B:CR,89,FALSE),0)</f>
        <v>7</v>
      </c>
      <c r="CN21" s="124"/>
      <c r="CO21" s="125"/>
      <c r="CP21" s="126"/>
      <c r="CQ21" s="126"/>
    </row>
    <row r="22" spans="1:95" x14ac:dyDescent="0.25">
      <c r="A22" s="651"/>
      <c r="B22" s="543" t="s">
        <v>44</v>
      </c>
      <c r="C22" s="310">
        <f>IFERROR(VLOOKUP(B22,'Staff In Post'!A:C,3,FALSE),0)</f>
        <v>108</v>
      </c>
      <c r="D22" s="246">
        <f>IFERROR(VLOOKUP(B22,'Mandatory Training'!A:C,3,FALSE),0)</f>
        <v>0.6404494382022472</v>
      </c>
      <c r="E22" s="24">
        <f>IFERROR(VLOOKUP(B22,'Previous Dashboard'!B:CR,3,FALSE),0)</f>
        <v>0.57777777777777772</v>
      </c>
      <c r="F22" s="63">
        <f>IF(D22&gt;=Benchmark!C$4,1,0)</f>
        <v>0</v>
      </c>
      <c r="G22" s="17">
        <f>IFERROR(VLOOKUP(B22,Appraisals!A:C,3,FALSE),0)</f>
        <v>0.84210526315789469</v>
      </c>
      <c r="H22" s="24">
        <f>IFERROR(VLOOKUP(B22,'Previous Dashboard'!B:CR,6,FALSE),0)</f>
        <v>0.73076923076923073</v>
      </c>
      <c r="I22" s="63">
        <f>IF(G22&gt;=Benchmark!E$4,1,0)</f>
        <v>0</v>
      </c>
      <c r="J22" s="59">
        <f t="shared" si="0"/>
        <v>0.74127735068007095</v>
      </c>
      <c r="K22" s="91">
        <f t="shared" si="1"/>
        <v>0.65427350427350417</v>
      </c>
      <c r="L22" s="63">
        <f>IF(J22&gt;=Benchmark!G$4,1,0)</f>
        <v>0</v>
      </c>
      <c r="M22" s="51">
        <f>IFERROR(VLOOKUP(B22,Stress!A:D,4,FALSE),"-")</f>
        <v>1.7991761123372502E-2</v>
      </c>
      <c r="N22" s="60">
        <f>IFERROR(VLOOKUP(B22,'Previous Dashboard'!B:CR,12,FALSE),0)</f>
        <v>4.4208051328385499E-3</v>
      </c>
      <c r="O22" s="52">
        <f>IFERROR(VLOOKUP(B22,'Musculo Skeletal'!A:D,4,FALSE),"-")</f>
        <v>7.0984734844352698E-3</v>
      </c>
      <c r="P22" s="43">
        <f>IFERROR(VLOOKUP(B22,'Previous Dashboard'!B:CR,14,FALSE),0)</f>
        <v>8.9532547602028095E-3</v>
      </c>
      <c r="Q22" s="52">
        <f>IFERROR(VLOOKUP(B22,'All Sickness'!A:D,4,FALSE),"-")</f>
        <v>6.4975690605122899E-2</v>
      </c>
      <c r="R22" s="43">
        <f>IFERROR(VLOOKUP(B22,'Previous Dashboard'!B:CR,16,FALSE),0)</f>
        <v>5.5486493363118401E-2</v>
      </c>
      <c r="S22" s="63">
        <f>IF(Q22&lt;=Benchmark!K$4,1,0)</f>
        <v>0</v>
      </c>
      <c r="T22" s="44">
        <f>IFERROR(VLOOKUP(B22,LT.ST!A:C,3,FALSE),"-")</f>
        <v>4.3800398004194802E-2</v>
      </c>
      <c r="U22" s="43">
        <f>IFERROR(VLOOKUP(B22,'Previous Dashboard'!B:CR,19,FALSE),0)</f>
        <v>2.3875386765113502E-2</v>
      </c>
      <c r="V22" s="42">
        <f>IFERROR(VLOOKUP(B22,Turnover!A:C,2,FALSE),0)</f>
        <v>5.29100529100529E-2</v>
      </c>
      <c r="W22" s="60">
        <f>IFERROR(VLOOKUP(B22,'Previous Dashboard'!B:CR,21,FALSE),0)</f>
        <v>4.2328042328042298E-2</v>
      </c>
      <c r="X22" s="63">
        <f>IF(V22&lt;=Benchmark!N$4,1,0)</f>
        <v>1</v>
      </c>
      <c r="Y22" s="159">
        <f>IFERROR(VLOOKUP(B22,Leavers!A:I,6,FALSE),0)</f>
        <v>5</v>
      </c>
      <c r="Z22" s="247">
        <f t="shared" si="2"/>
        <v>1</v>
      </c>
      <c r="AA22" s="298">
        <f>IFERROR(VLOOKUP(B22,'Previous Dashboard'!B:CR,25,FALSE),0)</f>
        <v>1</v>
      </c>
      <c r="AB22" s="188">
        <f>IFERROR(VLOOKUP(VLOOKUP($B22,'Pulse Mapping'!$A:$C,3,FALSE),'Pulse Survey'!$A:$J,2,FALSE),0)</f>
        <v>8</v>
      </c>
      <c r="AC22" s="25">
        <f>IFERROR(VLOOKUP(B22,'Previous Dashboard'!B:CR,27,FALSE),0)</f>
        <v>7</v>
      </c>
      <c r="AD22" s="362">
        <f t="shared" si="3"/>
        <v>7.407407407407407E-2</v>
      </c>
      <c r="AE22" s="408">
        <f>IFERROR(VLOOKUP(B22,'Staff Engagement'!A:E,5,FALSE),0)</f>
        <v>6.2152777777777777</v>
      </c>
      <c r="AF22" s="409">
        <f>IFERROR(VLOOKUP(B22,'Previous Dashboard'!B:CQ,30,FALSE),0)</f>
        <v>7.5</v>
      </c>
      <c r="AG22" s="112">
        <f>IFERROR(VLOOKUP(B22,'Staff Engagement'!A:E,2,FALSE),0)</f>
        <v>6.25</v>
      </c>
      <c r="AH22" s="409">
        <f>IFERROR(VLOOKUP(B22,'Previous Dashboard'!B:CQ,32,FALSE),0)</f>
        <v>7.2619047619047619</v>
      </c>
      <c r="AI22" s="110">
        <f>IFERROR(VLOOKUP(B22,'Staff Engagement'!A:E,3,FALSE),0)</f>
        <v>6.458333333333333</v>
      </c>
      <c r="AJ22" s="409">
        <f>IFERROR(VLOOKUP(B22,'Previous Dashboard'!B:CQ,34,FALSE),0)</f>
        <v>7.2619047619047619</v>
      </c>
      <c r="AK22" s="112">
        <f>IFERROR(VLOOKUP(B22,'Staff Engagement'!A:E,4,FALSE),0)</f>
        <v>5.9375</v>
      </c>
      <c r="AL22" s="271">
        <f>IFERROR(VLOOKUP(B22,'Previous Dashboard'!B:CQ,36,FALSE),0)</f>
        <v>7.9761904761904763</v>
      </c>
      <c r="AM22" s="386">
        <f>IFERROR(VLOOKUP(B22,'Patient Experience'!A:K,9,FALSE),0)</f>
        <v>1</v>
      </c>
      <c r="AN22" s="60">
        <f>IFERROR(VLOOKUP(VLOOKUP($B22,'Pulse Mapping'!$A:$C,3,FALSE),'Pulse Survey'!$A:$J,'Pulse Survey'!C$1,FALSE),0)</f>
        <v>0.375</v>
      </c>
      <c r="AO22" s="63" cm="1">
        <f t="array" ref="AO22">_xlfn.IFS(AN22 = "-",0,AN22 &gt;=Benchmark!R$4,1,AN22&lt;Benchmark!R$4,0)</f>
        <v>0</v>
      </c>
      <c r="AP22" s="43">
        <f>IFERROR(VLOOKUP(B22,'Previous Dashboard'!B:CR,39,FALSE),0)</f>
        <v>0.71428571428571419</v>
      </c>
      <c r="AQ22" s="43">
        <f>IFERROR(VLOOKUP(VLOOKUP($B22,'Pulse Mapping'!$A:$C,3,FALSE),'Pulse Survey'!$A:$J,'Pulse Survey'!D$1,FALSE),0)</f>
        <v>0.5</v>
      </c>
      <c r="AR22" s="63" cm="1">
        <f t="array" ref="AR22">_xlfn.IFS(AQ22 = "-",0,AQ22 &gt;=Benchmark!T$4,1,AQ22&lt;Benchmark!T$4,0)</f>
        <v>0</v>
      </c>
      <c r="AS22" s="24">
        <f>IFERROR(VLOOKUP(B22,'Previous Dashboard'!B:CR,42,FALSE),0)</f>
        <v>0.85714285714285721</v>
      </c>
      <c r="AT22" s="43">
        <f>IFERROR(VLOOKUP(VLOOKUP($B22,'Pulse Mapping'!$A:$C,3,FALSE),'Pulse Survey'!$A:$J,'Pulse Survey'!E$1,FALSE),0)</f>
        <v>0.5</v>
      </c>
      <c r="AU22" s="63" cm="1">
        <f t="array" ref="AU22">_xlfn.IFS(AT22 = "-",0,AT22 &gt;=Benchmark!V$4,1,AT22&lt;Benchmark!V$4,0)</f>
        <v>0</v>
      </c>
      <c r="AV22" s="24">
        <f>IFERROR(VLOOKUP(B22,'Previous Dashboard'!B:CR,45,FALSE),0)</f>
        <v>0.5714285714285714</v>
      </c>
      <c r="AW22" s="43">
        <f>IFERROR(VLOOKUP(VLOOKUP($B22,'Pulse Mapping'!$A:$C,3,FALSE),'Pulse Survey'!$A:$J,'Pulse Survey'!F$1,FALSE),0)</f>
        <v>0.375</v>
      </c>
      <c r="AX22" s="63" cm="1">
        <f t="array" ref="AX22">_xlfn.IFS(AW22 = "-",0,AW22 &gt;=Benchmark!X$4,1,AW22&lt;Benchmark!X$4,0)</f>
        <v>0</v>
      </c>
      <c r="AY22" s="24">
        <f>IFERROR(VLOOKUP(B22,'Previous Dashboard'!B:CR,48,FALSE),0)</f>
        <v>0.7142857142857143</v>
      </c>
      <c r="AZ22" s="43">
        <f>IFERROR(VLOOKUP(VLOOKUP($B22,'Pulse Mapping'!$A:$C,3,FALSE),'Pulse Survey'!$A:$J,'Pulse Survey'!G$1,FALSE),0)</f>
        <v>0.625</v>
      </c>
      <c r="BA22" s="63" cm="1">
        <f t="array" ref="BA22">_xlfn.IFS(AZ22 = "-",0,AZ22 &gt;=Benchmark!Z$4,1,AZ22&lt;Benchmark!Z$4,0)</f>
        <v>0</v>
      </c>
      <c r="BB22" s="24">
        <f>IFERROR(VLOOKUP(B22,'Previous Dashboard'!B:CR,51,FALSE),0)</f>
        <v>0.8571428571428571</v>
      </c>
      <c r="BC22" s="43">
        <f>IFERROR(VLOOKUP(VLOOKUP($B22,'Pulse Mapping'!$A:$C,3,FALSE),'Pulse Survey'!$A:$J,'Pulse Survey'!H$1,FALSE),0)</f>
        <v>0.625</v>
      </c>
      <c r="BD22" s="63" cm="1">
        <f t="array" ref="BD22">_xlfn.IFS(BC22 = "-",0,BC22 &gt;=Benchmark!AB$4,1,BC22&lt;Benchmark!AB$4,0)</f>
        <v>0</v>
      </c>
      <c r="BE22" s="24">
        <f>IFERROR(VLOOKUP(B22,'Previous Dashboard'!B:CR,54,FALSE),0)</f>
        <v>1</v>
      </c>
      <c r="BF22" s="43">
        <f>IFERROR(VLOOKUP(VLOOKUP($B22,'Pulse Mapping'!$A:$C,3,FALSE),'Pulse Survey'!$A:$J,'Pulse Survey'!I$1,FALSE),0)</f>
        <v>0.625</v>
      </c>
      <c r="BG22" s="63" cm="1">
        <f t="array" ref="BG22">_xlfn.IFS(BF22 = "-",0,BF22 &gt;=Benchmark!AD$4,1,BF22&lt;Benchmark!AD$4,0)</f>
        <v>0</v>
      </c>
      <c r="BH22" s="91">
        <f>IFERROR(VLOOKUP(B22,'Previous Dashboard'!B:CR,57,FALSE),0)</f>
        <v>0.7142857142857143</v>
      </c>
      <c r="BI22" s="44">
        <f>IFERROR(VLOOKUP(VLOOKUP($B22,'Pulse Mapping'!$A:$C,3,FALSE),'Pulse Survey'!$A:$J,'Pulse Survey'!J$1,FALSE),0)</f>
        <v>0.375</v>
      </c>
      <c r="BJ22" s="63" cm="1">
        <f t="array" ref="BJ22">_xlfn.IFS(BI22 = "-",0,BI22 &gt;=Benchmark!AF$4,1,BI22&lt;Benchmark!AF$4,0)</f>
        <v>0</v>
      </c>
      <c r="BK22" s="145">
        <f>IFERROR(VLOOKUP(B22,'Previous Dashboard'!B:CR,60,FALSE),0)</f>
        <v>0.8571428571428571</v>
      </c>
      <c r="BL22" s="224">
        <f t="shared" si="4"/>
        <v>0</v>
      </c>
      <c r="BM22" s="325">
        <f>IFERROR(VLOOKUP(B22,'Previous Dashboard'!B:CR,63,FALSE),0)</f>
        <v>7</v>
      </c>
      <c r="BN22" s="285">
        <f t="shared" si="5"/>
        <v>1</v>
      </c>
      <c r="BO22" s="190">
        <f>IFERROR(VLOOKUP(B22,'Previous Dashboard'!B:CR,65,FALSE),0)</f>
        <v>8</v>
      </c>
      <c r="BP22" s="25">
        <f>IFERROR(VLOOKUP(B22,'Previous Dashboard'!B:CR,66,FALSE),0)</f>
        <v>1</v>
      </c>
      <c r="BQ22" s="288">
        <f>IFERROR(VLOOKUP(B22,'Previous Dashboard'!B:CR,67,FALSE),0)</f>
        <v>1</v>
      </c>
      <c r="BR22" s="99"/>
      <c r="BS22" s="403">
        <f>IFERROR(VLOOKUP(B22,'Staff Survey'!B:L,3,FALSE),"-")</f>
        <v>6.9</v>
      </c>
      <c r="BT22" s="401" t="s">
        <v>389</v>
      </c>
      <c r="BU22" s="136">
        <f>IFERROR(VLOOKUP(B22,'Staff Survey'!B:L,4,FALSE),"-")</f>
        <v>5.3</v>
      </c>
      <c r="BV22" s="399" t="s">
        <v>389</v>
      </c>
      <c r="BW22" s="403">
        <f>IFERROR(VLOOKUP(B22,'Staff Survey'!B:L,5,FALSE),"-")</f>
        <v>6.4</v>
      </c>
      <c r="BX22" s="402" t="s">
        <v>389</v>
      </c>
      <c r="BY22" s="403">
        <f>IFERROR(VLOOKUP(B22,'Staff Survey'!B:L,6,FALSE),"-")</f>
        <v>5.3</v>
      </c>
      <c r="BZ22" s="402" t="s">
        <v>389</v>
      </c>
      <c r="CA22" s="403">
        <f>IFERROR(VLOOKUP(B22,'Staff Survey'!B:L,7,FALSE),"-")</f>
        <v>5.0999999999999996</v>
      </c>
      <c r="CB22" s="428" t="s">
        <v>389</v>
      </c>
      <c r="CC22" s="403">
        <f>IFERROR(VLOOKUP(B22,'Staff Survey'!B:L,8,FALSE),"-")</f>
        <v>5.7</v>
      </c>
      <c r="CD22" s="428" t="s">
        <v>389</v>
      </c>
      <c r="CE22" s="403">
        <f>IFERROR(VLOOKUP(B22,'Staff Survey'!B:L,9,FALSE),"-")</f>
        <v>6.3</v>
      </c>
      <c r="CF22" s="428" t="s">
        <v>389</v>
      </c>
      <c r="CG22" s="140">
        <f>IFERROR(VLOOKUP(B22,'Staff Survey'!B:L,10,FALSE),"-")</f>
        <v>6.5</v>
      </c>
      <c r="CH22" s="277">
        <v>7</v>
      </c>
      <c r="CI22" s="412">
        <f>IFERROR(VLOOKUP(B22,'Staff Survey'!B:L,11,FALSE),"-")</f>
        <v>5.2</v>
      </c>
      <c r="CJ22" s="111">
        <v>6</v>
      </c>
      <c r="CL22" s="119">
        <f>IFERROR(VLOOKUP(B22,'LfE . HR Ops . F2SU'!A:B,2,FALSE),0)</f>
        <v>6</v>
      </c>
      <c r="CM22" s="119">
        <f>IFERROR(VLOOKUP(B22,'Previous Dashboard'!B:CR,89,FALSE),0)</f>
        <v>13</v>
      </c>
      <c r="CN22" s="124"/>
      <c r="CO22" s="125"/>
      <c r="CP22" s="126"/>
      <c r="CQ22" s="126"/>
    </row>
    <row r="23" spans="1:95" x14ac:dyDescent="0.25">
      <c r="A23" s="651"/>
      <c r="B23" s="543" t="s">
        <v>45</v>
      </c>
      <c r="C23" s="310">
        <f>IFERROR(VLOOKUP(B23,'Staff In Post'!A:C,3,FALSE),0)</f>
        <v>311</v>
      </c>
      <c r="D23" s="246">
        <f>IFERROR(VLOOKUP(B23,'Mandatory Training'!A:C,3,FALSE),0)</f>
        <v>0.5127272727272727</v>
      </c>
      <c r="E23" s="24">
        <f>IFERROR(VLOOKUP(B23,'Previous Dashboard'!B:CR,3,FALSE),0)</f>
        <v>0.37728937728937728</v>
      </c>
      <c r="F23" s="63">
        <f>IF(D23&gt;=Benchmark!C$4,1,0)</f>
        <v>0</v>
      </c>
      <c r="G23" s="17">
        <f>IFERROR(VLOOKUP(B23,Appraisals!A:C,3,FALSE),0)</f>
        <v>0.77192982456140347</v>
      </c>
      <c r="H23" s="24">
        <f>IFERROR(VLOOKUP(B23,'Previous Dashboard'!B:CR,6,FALSE),0)</f>
        <v>0.74248927038626611</v>
      </c>
      <c r="I23" s="63">
        <f>IF(G23&gt;=Benchmark!E$4,1,0)</f>
        <v>0</v>
      </c>
      <c r="J23" s="59">
        <f t="shared" si="0"/>
        <v>0.64232854864433808</v>
      </c>
      <c r="K23" s="91">
        <f t="shared" si="1"/>
        <v>0.55988932383782175</v>
      </c>
      <c r="L23" s="63">
        <f>IF(J23&gt;=Benchmark!G$4,1,0)</f>
        <v>0</v>
      </c>
      <c r="M23" s="51">
        <f>IFERROR(VLOOKUP(B23,Stress!A:D,4,FALSE),"-")</f>
        <v>1.9143720730999202E-2</v>
      </c>
      <c r="N23" s="60">
        <f>IFERROR(VLOOKUP(B23,'Previous Dashboard'!B:CR,12,FALSE),0)</f>
        <v>8.8826511300959306E-3</v>
      </c>
      <c r="O23" s="52">
        <f>IFERROR(VLOOKUP(B23,'Musculo Skeletal'!A:D,4,FALSE),"-")</f>
        <v>5.1717712258414197E-3</v>
      </c>
      <c r="P23" s="43">
        <f>IFERROR(VLOOKUP(B23,'Previous Dashboard'!B:CR,14,FALSE),0)</f>
        <v>4.5214135571861004E-3</v>
      </c>
      <c r="Q23" s="52">
        <f>IFERROR(VLOOKUP(B23,'All Sickness'!A:D,4,FALSE),"-")</f>
        <v>6.2579980717189496E-2</v>
      </c>
      <c r="R23" s="43">
        <f>IFERROR(VLOOKUP(B23,'Previous Dashboard'!B:CR,16,FALSE),0)</f>
        <v>5.9927093176320799E-2</v>
      </c>
      <c r="S23" s="63">
        <f>IF(Q23&lt;=Benchmark!K$4,1,0)</f>
        <v>0</v>
      </c>
      <c r="T23" s="44">
        <f>IFERROR(VLOOKUP(B23,LT.ST!A:C,3,FALSE),"-")</f>
        <v>2.9704749509933501E-2</v>
      </c>
      <c r="U23" s="43">
        <f>IFERROR(VLOOKUP(B23,'Previous Dashboard'!B:CR,19,FALSE),0)</f>
        <v>2.1755623440723099E-2</v>
      </c>
      <c r="V23" s="42">
        <f>IFERROR(VLOOKUP(B23,Turnover!A:C,2,FALSE),0)</f>
        <v>2.8776978417266199E-2</v>
      </c>
      <c r="W23" s="60">
        <f>IFERROR(VLOOKUP(B23,'Previous Dashboard'!B:CR,21,FALSE),0)</f>
        <v>3.54609929078014E-2</v>
      </c>
      <c r="X23" s="63">
        <f>IF(V23&lt;=Benchmark!N$4,1,0)</f>
        <v>1</v>
      </c>
      <c r="Y23" s="159">
        <f>IFERROR(VLOOKUP(B23,Leavers!A:I,6,FALSE),0)</f>
        <v>8</v>
      </c>
      <c r="Z23" s="247">
        <f t="shared" si="2"/>
        <v>1</v>
      </c>
      <c r="AA23" s="298">
        <f>IFERROR(VLOOKUP(B23,'Previous Dashboard'!B:CR,25,FALSE),0)</f>
        <v>1</v>
      </c>
      <c r="AB23" s="188">
        <f>IFERROR(VLOOKUP(VLOOKUP($B23,'Pulse Mapping'!$A:$C,3,FALSE),'Pulse Survey'!$A:$J,2,FALSE),0)</f>
        <v>35</v>
      </c>
      <c r="AC23" s="25">
        <f>IFERROR(VLOOKUP(B23,'Previous Dashboard'!B:CR,27,FALSE),0)</f>
        <v>28</v>
      </c>
      <c r="AD23" s="362">
        <f t="shared" si="3"/>
        <v>0.11254019292604502</v>
      </c>
      <c r="AE23" s="408">
        <f>IFERROR(VLOOKUP(B23,'Staff Engagement'!A:E,5,FALSE),0)</f>
        <v>6.412698412698413</v>
      </c>
      <c r="AF23" s="409">
        <f>IFERROR(VLOOKUP(B23,'Previous Dashboard'!B:CQ,30,FALSE),0)</f>
        <v>6.17063492063492</v>
      </c>
      <c r="AG23" s="112">
        <f>IFERROR(VLOOKUP(B23,'Staff Engagement'!A:E,2,FALSE),0)</f>
        <v>6.0952380952380949</v>
      </c>
      <c r="AH23" s="409">
        <f>IFERROR(VLOOKUP(B23,'Previous Dashboard'!B:CQ,32,FALSE),0)</f>
        <v>5.8928571428571432</v>
      </c>
      <c r="AI23" s="110">
        <f>IFERROR(VLOOKUP(B23,'Staff Engagement'!A:E,3,FALSE),0)</f>
        <v>6.3095238095238093</v>
      </c>
      <c r="AJ23" s="409">
        <f>IFERROR(VLOOKUP(B23,'Previous Dashboard'!B:CQ,34,FALSE),0)</f>
        <v>5.5952380952380949</v>
      </c>
      <c r="AK23" s="112">
        <f>IFERROR(VLOOKUP(B23,'Staff Engagement'!A:E,4,FALSE),0)</f>
        <v>6.833333333333333</v>
      </c>
      <c r="AL23" s="271">
        <f>IFERROR(VLOOKUP(B23,'Previous Dashboard'!B:CQ,36,FALSE),0)</f>
        <v>7.0238095238095237</v>
      </c>
      <c r="AM23" s="386">
        <f>IFERROR(VLOOKUP(B23,'Patient Experience'!A:K,9,FALSE),0)</f>
        <v>1</v>
      </c>
      <c r="AN23" s="60">
        <f>IFERROR(VLOOKUP(VLOOKUP($B23,'Pulse Mapping'!$A:$C,3,FALSE),'Pulse Survey'!$A:$J,'Pulse Survey'!C$1,FALSE),0)</f>
        <v>0.51428571428571423</v>
      </c>
      <c r="AO23" s="63" cm="1">
        <f t="array" ref="AO23">_xlfn.IFS(AN23 = "-",0,AN23 &gt;=Benchmark!R$4,1,AN23&lt;Benchmark!R$4,0)</f>
        <v>0</v>
      </c>
      <c r="AP23" s="43">
        <f>IFERROR(VLOOKUP(B23,'Previous Dashboard'!B:CR,39,FALSE),0)</f>
        <v>0.4285714285714286</v>
      </c>
      <c r="AQ23" s="43">
        <f>IFERROR(VLOOKUP(VLOOKUP($B23,'Pulse Mapping'!$A:$C,3,FALSE),'Pulse Survey'!$A:$J,'Pulse Survey'!D$1,FALSE),0)</f>
        <v>0.37142857142857144</v>
      </c>
      <c r="AR23" s="63" cm="1">
        <f t="array" ref="AR23">_xlfn.IFS(AQ23 = "-",0,AQ23 &gt;=Benchmark!T$4,1,AQ23&lt;Benchmark!T$4,0)</f>
        <v>0</v>
      </c>
      <c r="AS23" s="24">
        <f>IFERROR(VLOOKUP(B23,'Previous Dashboard'!B:CR,42,FALSE),0)</f>
        <v>0.4642857142857143</v>
      </c>
      <c r="AT23" s="43">
        <f>IFERROR(VLOOKUP(VLOOKUP($B23,'Pulse Mapping'!$A:$C,3,FALSE),'Pulse Survey'!$A:$J,'Pulse Survey'!E$1,FALSE),0)</f>
        <v>0.42857142857142855</v>
      </c>
      <c r="AU23" s="63" cm="1">
        <f t="array" ref="AU23">_xlfn.IFS(AT23 = "-",0,AT23 &gt;=Benchmark!V$4,1,AT23&lt;Benchmark!V$4,0)</f>
        <v>0</v>
      </c>
      <c r="AV23" s="24">
        <f>IFERROR(VLOOKUP(B23,'Previous Dashboard'!B:CR,45,FALSE),0)</f>
        <v>0.5357142857142857</v>
      </c>
      <c r="AW23" s="43">
        <f>IFERROR(VLOOKUP(VLOOKUP($B23,'Pulse Mapping'!$A:$C,3,FALSE),'Pulse Survey'!$A:$J,'Pulse Survey'!F$1,FALSE),0)</f>
        <v>0.5714285714285714</v>
      </c>
      <c r="AX23" s="63" cm="1">
        <f t="array" ref="AX23">_xlfn.IFS(AW23 = "-",0,AW23 &gt;=Benchmark!X$4,1,AW23&lt;Benchmark!X$4,0)</f>
        <v>0</v>
      </c>
      <c r="AY23" s="24">
        <f>IFERROR(VLOOKUP(B23,'Previous Dashboard'!B:CR,48,FALSE),0)</f>
        <v>0.6071428571428571</v>
      </c>
      <c r="AZ23" s="43">
        <f>IFERROR(VLOOKUP(VLOOKUP($B23,'Pulse Mapping'!$A:$C,3,FALSE),'Pulse Survey'!$A:$J,'Pulse Survey'!G$1,FALSE),0)</f>
        <v>0.6</v>
      </c>
      <c r="BA23" s="63" cm="1">
        <f t="array" ref="BA23">_xlfn.IFS(AZ23 = "-",0,AZ23 &gt;=Benchmark!Z$4,1,AZ23&lt;Benchmark!Z$4,0)</f>
        <v>0</v>
      </c>
      <c r="BB23" s="24">
        <f>IFERROR(VLOOKUP(B23,'Previous Dashboard'!B:CR,51,FALSE),0)</f>
        <v>0.5357142857142857</v>
      </c>
      <c r="BC23" s="43">
        <f>IFERROR(VLOOKUP(VLOOKUP($B23,'Pulse Mapping'!$A:$C,3,FALSE),'Pulse Survey'!$A:$J,'Pulse Survey'!H$1,FALSE),0)</f>
        <v>0.60000000000000009</v>
      </c>
      <c r="BD23" s="63" cm="1">
        <f t="array" ref="BD23">_xlfn.IFS(BC23 = "-",0,BC23 &gt;=Benchmark!AB$4,1,BC23&lt;Benchmark!AB$4,0)</f>
        <v>0</v>
      </c>
      <c r="BE23" s="24">
        <f>IFERROR(VLOOKUP(B23,'Previous Dashboard'!B:CR,54,FALSE),0)</f>
        <v>0.6428571428571429</v>
      </c>
      <c r="BF23" s="43">
        <f>IFERROR(VLOOKUP(VLOOKUP($B23,'Pulse Mapping'!$A:$C,3,FALSE),'Pulse Survey'!$A:$J,'Pulse Survey'!I$1,FALSE),0)</f>
        <v>0.71428571428571419</v>
      </c>
      <c r="BG23" s="63" cm="1">
        <f t="array" ref="BG23">_xlfn.IFS(BF23 = "-",0,BF23 &gt;=Benchmark!AD$4,1,BF23&lt;Benchmark!AD$4,0)</f>
        <v>1</v>
      </c>
      <c r="BH23" s="91">
        <f>IFERROR(VLOOKUP(B23,'Previous Dashboard'!B:CR,57,FALSE),0)</f>
        <v>0.4642857142857143</v>
      </c>
      <c r="BI23" s="44">
        <f>IFERROR(VLOOKUP(VLOOKUP($B23,'Pulse Mapping'!$A:$C,3,FALSE),'Pulse Survey'!$A:$J,'Pulse Survey'!J$1,FALSE),0)</f>
        <v>0.5714285714285714</v>
      </c>
      <c r="BJ23" s="63" cm="1">
        <f t="array" ref="BJ23">_xlfn.IFS(BI23 = "-",0,BI23 &gt;=Benchmark!AF$4,1,BI23&lt;Benchmark!AF$4,0)</f>
        <v>0</v>
      </c>
      <c r="BK23" s="145">
        <f>IFERROR(VLOOKUP(B23,'Previous Dashboard'!B:CR,60,FALSE),0)</f>
        <v>0.42857142857142855</v>
      </c>
      <c r="BL23" s="224">
        <f t="shared" si="4"/>
        <v>1</v>
      </c>
      <c r="BM23" s="325">
        <f>IFERROR(VLOOKUP(B23,'Previous Dashboard'!B:CR,63,FALSE),0)</f>
        <v>0</v>
      </c>
      <c r="BN23" s="285">
        <f t="shared" si="5"/>
        <v>2</v>
      </c>
      <c r="BO23" s="190">
        <f>IFERROR(VLOOKUP(B23,'Previous Dashboard'!B:CR,65,FALSE),0)</f>
        <v>1</v>
      </c>
      <c r="BP23" s="25">
        <f>IFERROR(VLOOKUP(B23,'Previous Dashboard'!B:CR,66,FALSE),0)</f>
        <v>1</v>
      </c>
      <c r="BQ23" s="288">
        <f>IFERROR(VLOOKUP(B23,'Previous Dashboard'!B:CR,67,FALSE),0)</f>
        <v>1</v>
      </c>
      <c r="BR23" s="99"/>
      <c r="BS23" s="403">
        <f>IFERROR(VLOOKUP(B23,'Staff Survey'!B:L,3,FALSE),"-")</f>
        <v>6.7</v>
      </c>
      <c r="BT23" s="401" t="s">
        <v>389</v>
      </c>
      <c r="BU23" s="136">
        <f>IFERROR(VLOOKUP(B23,'Staff Survey'!B:L,4,FALSE),"-")</f>
        <v>5.2</v>
      </c>
      <c r="BV23" s="399" t="s">
        <v>389</v>
      </c>
      <c r="BW23" s="403">
        <f>IFERROR(VLOOKUP(B23,'Staff Survey'!B:L,5,FALSE),"-")</f>
        <v>6.4</v>
      </c>
      <c r="BX23" s="402" t="s">
        <v>389</v>
      </c>
      <c r="BY23" s="403">
        <f>IFERROR(VLOOKUP(B23,'Staff Survey'!B:L,6,FALSE),"-")</f>
        <v>5.0999999999999996</v>
      </c>
      <c r="BZ23" s="402" t="s">
        <v>389</v>
      </c>
      <c r="CA23" s="403">
        <f>IFERROR(VLOOKUP(B23,'Staff Survey'!B:L,7,FALSE),"-")</f>
        <v>5.2</v>
      </c>
      <c r="CB23" s="428" t="s">
        <v>389</v>
      </c>
      <c r="CC23" s="403">
        <f>IFERROR(VLOOKUP(B23,'Staff Survey'!B:L,8,FALSE),"-")</f>
        <v>5.7</v>
      </c>
      <c r="CD23" s="428" t="s">
        <v>389</v>
      </c>
      <c r="CE23" s="403">
        <f>IFERROR(VLOOKUP(B23,'Staff Survey'!B:L,9,FALSE),"-")</f>
        <v>6.2</v>
      </c>
      <c r="CF23" s="428" t="s">
        <v>389</v>
      </c>
      <c r="CG23" s="140">
        <f>IFERROR(VLOOKUP(B23,'Staff Survey'!B:L,10,FALSE),"-")</f>
        <v>6.4</v>
      </c>
      <c r="CH23" s="277">
        <v>6.5</v>
      </c>
      <c r="CI23" s="412">
        <f>IFERROR(VLOOKUP(B23,'Staff Survey'!B:L,11,FALSE),"-")</f>
        <v>5.5</v>
      </c>
      <c r="CJ23" s="111">
        <v>5.8</v>
      </c>
      <c r="CL23" s="119">
        <f>IFERROR(VLOOKUP(B23,'LfE . HR Ops . F2SU'!A:B,2,FALSE),0)</f>
        <v>23</v>
      </c>
      <c r="CM23" s="119">
        <f>IFERROR(VLOOKUP(B23,'Previous Dashboard'!B:CR,89,FALSE),0)</f>
        <v>31</v>
      </c>
      <c r="CN23" s="124"/>
      <c r="CO23" s="125"/>
      <c r="CP23" s="126"/>
      <c r="CQ23" s="126"/>
    </row>
    <row r="24" spans="1:95" x14ac:dyDescent="0.25">
      <c r="A24" s="651"/>
      <c r="B24" s="543" t="s">
        <v>46</v>
      </c>
      <c r="C24" s="310">
        <f>IFERROR(VLOOKUP(B24,'Staff In Post'!A:C,3,FALSE),0)</f>
        <v>52</v>
      </c>
      <c r="D24" s="246">
        <f>IFERROR(VLOOKUP(B24,'Mandatory Training'!A:C,3,FALSE),0)</f>
        <v>0.75</v>
      </c>
      <c r="E24" s="24">
        <f>IFERROR(VLOOKUP(B24,'Previous Dashboard'!B:CR,3,FALSE),0)</f>
        <v>0.7021276595744681</v>
      </c>
      <c r="F24" s="63">
        <f>IF(D24&gt;=Benchmark!C$4,1,0)</f>
        <v>0</v>
      </c>
      <c r="G24" s="17">
        <f>IFERROR(VLOOKUP(B24,Appraisals!A:C,3,FALSE),0)</f>
        <v>0.93103448275862066</v>
      </c>
      <c r="H24" s="24">
        <f>IFERROR(VLOOKUP(B24,'Previous Dashboard'!B:CR,6,FALSE),0)</f>
        <v>0.93333333333333335</v>
      </c>
      <c r="I24" s="63">
        <f>IF(G24&gt;=Benchmark!E$4,1,0)</f>
        <v>1</v>
      </c>
      <c r="J24" s="59">
        <f t="shared" si="0"/>
        <v>0.84051724137931028</v>
      </c>
      <c r="K24" s="91">
        <f t="shared" si="1"/>
        <v>0.81773049645390072</v>
      </c>
      <c r="L24" s="63">
        <f>IF(J24&gt;=Benchmark!G$4,1,0)</f>
        <v>0</v>
      </c>
      <c r="M24" s="51">
        <f>IFERROR(VLOOKUP(B24,Stress!A:D,4,FALSE),"-")</f>
        <v>0</v>
      </c>
      <c r="N24" s="60">
        <f>IFERROR(VLOOKUP(B24,'Previous Dashboard'!B:CR,12,FALSE),0)</f>
        <v>4.5222291916210203E-3</v>
      </c>
      <c r="O24" s="52">
        <f>IFERROR(VLOOKUP(B24,'Musculo Skeletal'!A:D,4,FALSE),"-")</f>
        <v>1.7536730865472E-3</v>
      </c>
      <c r="P24" s="43">
        <f>IFERROR(VLOOKUP(B24,'Previous Dashboard'!B:CR,14,FALSE),0)</f>
        <v>5.0811563950797995E-4</v>
      </c>
      <c r="Q24" s="52">
        <f>IFERROR(VLOOKUP(B24,'All Sickness'!A:D,4,FALSE),"-")</f>
        <v>2.6379167335829599E-2</v>
      </c>
      <c r="R24" s="43">
        <f>IFERROR(VLOOKUP(B24,'Previous Dashboard'!B:CR,16,FALSE),0)</f>
        <v>3.63810772481932E-2</v>
      </c>
      <c r="S24" s="63">
        <f>IF(Q24&lt;=Benchmark!K$4,1,0)</f>
        <v>1</v>
      </c>
      <c r="T24" s="44">
        <f>IFERROR(VLOOKUP(B24,LT.ST!A:C,3,FALSE),"-")</f>
        <v>8.3894854449017304E-3</v>
      </c>
      <c r="U24" s="43">
        <f>IFERROR(VLOOKUP(B24,'Previous Dashboard'!B:CR,19,FALSE),0)</f>
        <v>1.11785440691756E-2</v>
      </c>
      <c r="V24" s="42">
        <f>IFERROR(VLOOKUP(B24,Turnover!A:C,2,FALSE),0)</f>
        <v>4.5454545454545497E-2</v>
      </c>
      <c r="W24" s="60">
        <f>IFERROR(VLOOKUP(B24,'Previous Dashboard'!B:CR,21,FALSE),0)</f>
        <v>4.4444444444444398E-2</v>
      </c>
      <c r="X24" s="63">
        <f>IF(V24&lt;=Benchmark!N$4,1,0)</f>
        <v>1</v>
      </c>
      <c r="Y24" s="159">
        <f>IFERROR(VLOOKUP(B24,Leavers!A:I,6,FALSE),0)</f>
        <v>2</v>
      </c>
      <c r="Z24" s="247">
        <f t="shared" si="2"/>
        <v>2</v>
      </c>
      <c r="AA24" s="298">
        <f>IFERROR(VLOOKUP(B24,'Previous Dashboard'!B:CR,25,FALSE),0)</f>
        <v>2</v>
      </c>
      <c r="AB24" s="188">
        <f>IFERROR(VLOOKUP(VLOOKUP($B24,'Pulse Mapping'!$A:$C,3,FALSE),'Pulse Survey'!$A:$J,2,FALSE),0)</f>
        <v>3</v>
      </c>
      <c r="AC24" s="25">
        <f>IFERROR(VLOOKUP(B24,'Previous Dashboard'!B:CR,27,FALSE),0)</f>
        <v>3</v>
      </c>
      <c r="AD24" s="362">
        <f t="shared" si="3"/>
        <v>5.7692307692307696E-2</v>
      </c>
      <c r="AE24" s="408">
        <f>IFERROR(VLOOKUP(B24,'Staff Engagement'!A:E,5,FALSE),0)</f>
        <v>8.4259259259259274</v>
      </c>
      <c r="AF24" s="409">
        <f>IFERROR(VLOOKUP(B24,'Previous Dashboard'!B:CQ,30,FALSE),0)</f>
        <v>7.8703703703703702</v>
      </c>
      <c r="AG24" s="112">
        <f>IFERROR(VLOOKUP(B24,'Staff Engagement'!A:E,2,FALSE),0)</f>
        <v>7.5</v>
      </c>
      <c r="AH24" s="409">
        <f>IFERROR(VLOOKUP(B24,'Previous Dashboard'!B:CQ,32,FALSE),0)</f>
        <v>8.0555555555555554</v>
      </c>
      <c r="AI24" s="110">
        <f>IFERROR(VLOOKUP(B24,'Staff Engagement'!A:E,3,FALSE),0)</f>
        <v>8.8888888888888893</v>
      </c>
      <c r="AJ24" s="409">
        <f>IFERROR(VLOOKUP(B24,'Previous Dashboard'!B:CQ,34,FALSE),0)</f>
        <v>7.5</v>
      </c>
      <c r="AK24" s="112">
        <f>IFERROR(VLOOKUP(B24,'Staff Engagement'!A:E,4,FALSE),0)</f>
        <v>8.8888888888888893</v>
      </c>
      <c r="AL24" s="271">
        <f>IFERROR(VLOOKUP(B24,'Previous Dashboard'!B:CQ,36,FALSE),0)</f>
        <v>8.0555555555555554</v>
      </c>
      <c r="AM24" s="386">
        <f>IFERROR(VLOOKUP(B24,'Patient Experience'!A:K,9,FALSE),0)</f>
        <v>0</v>
      </c>
      <c r="AN24" s="60" t="str">
        <f>IFERROR(VLOOKUP(VLOOKUP($B24,'Pulse Mapping'!$A:$C,3,FALSE),'Pulse Survey'!$A:$J,'Pulse Survey'!C$1,FALSE),0)</f>
        <v>-</v>
      </c>
      <c r="AO24" s="63" cm="1">
        <f t="array" ref="AO24">_xlfn.IFS(AN24 = "-",0,AN24 &gt;=Benchmark!R$4,1,AN24&lt;Benchmark!R$4,0)</f>
        <v>0</v>
      </c>
      <c r="AP24" s="43" t="str">
        <f>IFERROR(VLOOKUP(B24,'Previous Dashboard'!B:CR,39,FALSE),0)</f>
        <v>-</v>
      </c>
      <c r="AQ24" s="43" t="str">
        <f>IFERROR(VLOOKUP(VLOOKUP($B24,'Pulse Mapping'!$A:$C,3,FALSE),'Pulse Survey'!$A:$J,'Pulse Survey'!D$1,FALSE),0)</f>
        <v>-</v>
      </c>
      <c r="AR24" s="63" cm="1">
        <f t="array" ref="AR24">_xlfn.IFS(AQ24 = "-",0,AQ24 &gt;=Benchmark!T$4,1,AQ24&lt;Benchmark!T$4,0)</f>
        <v>0</v>
      </c>
      <c r="AS24" s="24" t="str">
        <f>IFERROR(VLOOKUP(B24,'Previous Dashboard'!B:CR,42,FALSE),0)</f>
        <v>-</v>
      </c>
      <c r="AT24" s="43" t="str">
        <f>IFERROR(VLOOKUP(VLOOKUP($B24,'Pulse Mapping'!$A:$C,3,FALSE),'Pulse Survey'!$A:$J,'Pulse Survey'!E$1,FALSE),0)</f>
        <v>-</v>
      </c>
      <c r="AU24" s="63" cm="1">
        <f t="array" ref="AU24">_xlfn.IFS(AT24 = "-",0,AT24 &gt;=Benchmark!V$4,1,AT24&lt;Benchmark!V$4,0)</f>
        <v>0</v>
      </c>
      <c r="AV24" s="24" t="str">
        <f>IFERROR(VLOOKUP(B24,'Previous Dashboard'!B:CR,45,FALSE),0)</f>
        <v>-</v>
      </c>
      <c r="AW24" s="43" t="str">
        <f>IFERROR(VLOOKUP(VLOOKUP($B24,'Pulse Mapping'!$A:$C,3,FALSE),'Pulse Survey'!$A:$J,'Pulse Survey'!F$1,FALSE),0)</f>
        <v>-</v>
      </c>
      <c r="AX24" s="63" cm="1">
        <f t="array" ref="AX24">_xlfn.IFS(AW24 = "-",0,AW24 &gt;=Benchmark!X$4,1,AW24&lt;Benchmark!X$4,0)</f>
        <v>0</v>
      </c>
      <c r="AY24" s="24" t="str">
        <f>IFERROR(VLOOKUP(B24,'Previous Dashboard'!B:CR,48,FALSE),0)</f>
        <v>-</v>
      </c>
      <c r="AZ24" s="43" t="str">
        <f>IFERROR(VLOOKUP(VLOOKUP($B24,'Pulse Mapping'!$A:$C,3,FALSE),'Pulse Survey'!$A:$J,'Pulse Survey'!G$1,FALSE),0)</f>
        <v>-</v>
      </c>
      <c r="BA24" s="63" cm="1">
        <f t="array" ref="BA24">_xlfn.IFS(AZ24 = "-",0,AZ24 &gt;=Benchmark!Z$4,1,AZ24&lt;Benchmark!Z$4,0)</f>
        <v>0</v>
      </c>
      <c r="BB24" s="24" t="str">
        <f>IFERROR(VLOOKUP(B24,'Previous Dashboard'!B:CR,51,FALSE),0)</f>
        <v>-</v>
      </c>
      <c r="BC24" s="43" t="str">
        <f>IFERROR(VLOOKUP(VLOOKUP($B24,'Pulse Mapping'!$A:$C,3,FALSE),'Pulse Survey'!$A:$J,'Pulse Survey'!H$1,FALSE),0)</f>
        <v>-</v>
      </c>
      <c r="BD24" s="63" cm="1">
        <f t="array" ref="BD24">_xlfn.IFS(BC24 = "-",0,BC24 &gt;=Benchmark!AB$4,1,BC24&lt;Benchmark!AB$4,0)</f>
        <v>0</v>
      </c>
      <c r="BE24" s="24" t="str">
        <f>IFERROR(VLOOKUP(B24,'Previous Dashboard'!B:CR,54,FALSE),0)</f>
        <v>-</v>
      </c>
      <c r="BF24" s="43" t="str">
        <f>IFERROR(VLOOKUP(VLOOKUP($B24,'Pulse Mapping'!$A:$C,3,FALSE),'Pulse Survey'!$A:$J,'Pulse Survey'!I$1,FALSE),0)</f>
        <v>-</v>
      </c>
      <c r="BG24" s="63" cm="1">
        <f t="array" ref="BG24">_xlfn.IFS(BF24 = "-",0,BF24 &gt;=Benchmark!AD$4,1,BF24&lt;Benchmark!AD$4,0)</f>
        <v>0</v>
      </c>
      <c r="BH24" s="91" t="str">
        <f>IFERROR(VLOOKUP(B24,'Previous Dashboard'!B:CR,57,FALSE),0)</f>
        <v>-</v>
      </c>
      <c r="BI24" s="44" t="str">
        <f>IFERROR(VLOOKUP(VLOOKUP($B24,'Pulse Mapping'!$A:$C,3,FALSE),'Pulse Survey'!$A:$J,'Pulse Survey'!J$1,FALSE),0)</f>
        <v>-</v>
      </c>
      <c r="BJ24" s="63" cm="1">
        <f t="array" ref="BJ24">_xlfn.IFS(BI24 = "-",0,BI24 &gt;=Benchmark!AF$4,1,BI24&lt;Benchmark!AF$4,0)</f>
        <v>0</v>
      </c>
      <c r="BK24" s="145" t="str">
        <f>IFERROR(VLOOKUP(B24,'Previous Dashboard'!B:CR,60,FALSE),0)</f>
        <v>-</v>
      </c>
      <c r="BL24" s="224">
        <f t="shared" si="4"/>
        <v>0</v>
      </c>
      <c r="BM24" s="325">
        <f>IFERROR(VLOOKUP(B24,'Previous Dashboard'!B:CR,63,FALSE),0)</f>
        <v>0</v>
      </c>
      <c r="BN24" s="285">
        <f t="shared" si="5"/>
        <v>2</v>
      </c>
      <c r="BO24" s="190">
        <f>IFERROR(VLOOKUP(B24,'Previous Dashboard'!B:CR,65,FALSE),0)</f>
        <v>2</v>
      </c>
      <c r="BP24" s="25">
        <f>IFERROR(VLOOKUP(B24,'Previous Dashboard'!B:CR,66,FALSE),0)</f>
        <v>2</v>
      </c>
      <c r="BQ24" s="288">
        <f>IFERROR(VLOOKUP(B24,'Previous Dashboard'!B:CR,67,FALSE),0)</f>
        <v>2</v>
      </c>
      <c r="BR24" s="99"/>
      <c r="BS24" s="403">
        <f>IFERROR(VLOOKUP(B24,'Staff Survey'!B:L,3,FALSE),"-")</f>
        <v>7.5</v>
      </c>
      <c r="BT24" s="401" t="s">
        <v>389</v>
      </c>
      <c r="BU24" s="136">
        <f>IFERROR(VLOOKUP(B24,'Staff Survey'!B:L,4,FALSE),"-")</f>
        <v>6.2</v>
      </c>
      <c r="BV24" s="399" t="s">
        <v>389</v>
      </c>
      <c r="BW24" s="403">
        <f>IFERROR(VLOOKUP(B24,'Staff Survey'!B:L,5,FALSE),"-")</f>
        <v>7</v>
      </c>
      <c r="BX24" s="402" t="s">
        <v>389</v>
      </c>
      <c r="BY24" s="403">
        <f>IFERROR(VLOOKUP(B24,'Staff Survey'!B:L,6,FALSE),"-")</f>
        <v>6.4</v>
      </c>
      <c r="BZ24" s="402" t="s">
        <v>389</v>
      </c>
      <c r="CA24" s="403">
        <f>IFERROR(VLOOKUP(B24,'Staff Survey'!B:L,7,FALSE),"-")</f>
        <v>5.6</v>
      </c>
      <c r="CB24" s="428" t="s">
        <v>389</v>
      </c>
      <c r="CC24" s="403">
        <f>IFERROR(VLOOKUP(B24,'Staff Survey'!B:L,8,FALSE),"-")</f>
        <v>6.5</v>
      </c>
      <c r="CD24" s="428" t="s">
        <v>389</v>
      </c>
      <c r="CE24" s="403">
        <f>IFERROR(VLOOKUP(B24,'Staff Survey'!B:L,9,FALSE),"-")</f>
        <v>6.8</v>
      </c>
      <c r="CF24" s="428" t="s">
        <v>389</v>
      </c>
      <c r="CG24" s="140">
        <f>IFERROR(VLOOKUP(B24,'Staff Survey'!B:L,10,FALSE),"-")</f>
        <v>7.1</v>
      </c>
      <c r="CH24" s="277">
        <v>7.3</v>
      </c>
      <c r="CI24" s="412">
        <f>IFERROR(VLOOKUP(B24,'Staff Survey'!B:L,11,FALSE),"-")</f>
        <v>6.2</v>
      </c>
      <c r="CJ24" s="111">
        <v>6.6</v>
      </c>
      <c r="CL24" s="119">
        <f>IFERROR(VLOOKUP(B24,'LfE . HR Ops . F2SU'!A:B,2,FALSE),0)</f>
        <v>2</v>
      </c>
      <c r="CM24" s="119">
        <f>IFERROR(VLOOKUP(B24,'Previous Dashboard'!B:CR,89,FALSE),0)</f>
        <v>2</v>
      </c>
      <c r="CN24" s="124"/>
      <c r="CO24" s="125"/>
      <c r="CP24" s="126"/>
      <c r="CQ24" s="126"/>
    </row>
    <row r="25" spans="1:95" x14ac:dyDescent="0.25">
      <c r="A25" s="651"/>
      <c r="B25" s="543" t="s">
        <v>47</v>
      </c>
      <c r="C25" s="310">
        <f>IFERROR(VLOOKUP(B25,'Staff In Post'!A:C,3,FALSE),0)</f>
        <v>50</v>
      </c>
      <c r="D25" s="246">
        <f>IFERROR(VLOOKUP(B25,'Mandatory Training'!A:C,3,FALSE),0)</f>
        <v>0.86956521739130432</v>
      </c>
      <c r="E25" s="24">
        <f>IFERROR(VLOOKUP(B25,'Previous Dashboard'!B:CR,3,FALSE),0)</f>
        <v>0.8</v>
      </c>
      <c r="F25" s="63">
        <f>IF(D25&gt;=Benchmark!C$4,1,0)</f>
        <v>0</v>
      </c>
      <c r="G25" s="17">
        <f>IFERROR(VLOOKUP(B25,Appraisals!A:C,3,FALSE),0)</f>
        <v>0.93939393939393945</v>
      </c>
      <c r="H25" s="24">
        <f>IFERROR(VLOOKUP(B25,'Previous Dashboard'!B:CR,6,FALSE),0)</f>
        <v>0.91428571428571426</v>
      </c>
      <c r="I25" s="63">
        <f>IF(G25&gt;=Benchmark!E$4,1,0)</f>
        <v>1</v>
      </c>
      <c r="J25" s="59">
        <f t="shared" si="0"/>
        <v>0.90447957839262183</v>
      </c>
      <c r="K25" s="91">
        <f t="shared" si="1"/>
        <v>0.85714285714285721</v>
      </c>
      <c r="L25" s="63">
        <f>IF(J25&gt;=Benchmark!G$4,1,0)</f>
        <v>1</v>
      </c>
      <c r="M25" s="51">
        <f>IFERROR(VLOOKUP(B25,Stress!A:D,4,FALSE),"-")</f>
        <v>3.9893243031338703E-3</v>
      </c>
      <c r="N25" s="60">
        <f>IFERROR(VLOOKUP(B25,'Previous Dashboard'!B:CR,12,FALSE),0)</f>
        <v>2.50572310916718E-4</v>
      </c>
      <c r="O25" s="52">
        <f>IFERROR(VLOOKUP(B25,'Musculo Skeletal'!A:D,4,FALSE),"-")</f>
        <v>2.0065017820186801E-2</v>
      </c>
      <c r="P25" s="43">
        <f>IFERROR(VLOOKUP(B25,'Previous Dashboard'!B:CR,14,FALSE),0)</f>
        <v>6.4647280358046998E-3</v>
      </c>
      <c r="Q25" s="52">
        <f>IFERROR(VLOOKUP(B25,'All Sickness'!A:D,4,FALSE),"-")</f>
        <v>7.0991244568517103E-2</v>
      </c>
      <c r="R25" s="43">
        <f>IFERROR(VLOOKUP(B25,'Previous Dashboard'!B:CR,16,FALSE),0)</f>
        <v>3.5360729436443798E-2</v>
      </c>
      <c r="S25" s="63">
        <f>IF(Q25&lt;=Benchmark!K$4,1,0)</f>
        <v>0</v>
      </c>
      <c r="T25" s="44">
        <f>IFERROR(VLOOKUP(B25,LT.ST!A:C,3,FALSE),"-")</f>
        <v>3.2689919413021302E-2</v>
      </c>
      <c r="U25" s="43">
        <f>IFERROR(VLOOKUP(B25,'Previous Dashboard'!B:CR,19,FALSE),0)</f>
        <v>6.4647280358046998E-3</v>
      </c>
      <c r="V25" s="42">
        <f>IFERROR(VLOOKUP(B25,Turnover!A:C,2,FALSE),0)</f>
        <v>2.2988505747126398E-2</v>
      </c>
      <c r="W25" s="60">
        <f>IFERROR(VLOOKUP(B25,'Previous Dashboard'!B:CR,21,FALSE),0)</f>
        <v>0</v>
      </c>
      <c r="X25" s="63">
        <f>IF(V25&lt;=Benchmark!N$4,1,0)</f>
        <v>1</v>
      </c>
      <c r="Y25" s="159">
        <f>IFERROR(VLOOKUP(B25,Leavers!A:I,6,FALSE),0)</f>
        <v>1</v>
      </c>
      <c r="Z25" s="247">
        <f t="shared" si="2"/>
        <v>2</v>
      </c>
      <c r="AA25" s="298">
        <f>IFERROR(VLOOKUP(B25,'Previous Dashboard'!B:CR,25,FALSE),0)</f>
        <v>2</v>
      </c>
      <c r="AB25" s="188">
        <f>IFERROR(VLOOKUP(VLOOKUP($B25,'Pulse Mapping'!$A:$C,3,FALSE),'Pulse Survey'!$A:$J,2,FALSE),0)</f>
        <v>2</v>
      </c>
      <c r="AC25" s="25">
        <f>IFERROR(VLOOKUP(B25,'Previous Dashboard'!B:CR,27,FALSE),0)</f>
        <v>4</v>
      </c>
      <c r="AD25" s="362">
        <f t="shared" si="3"/>
        <v>0.04</v>
      </c>
      <c r="AE25" s="408">
        <f>IFERROR(VLOOKUP(B25,'Staff Engagement'!A:E,5,FALSE),0)</f>
        <v>4.3055555555555554</v>
      </c>
      <c r="AF25" s="409">
        <f>IFERROR(VLOOKUP(B25,'Previous Dashboard'!B:CQ,30,FALSE),0)</f>
        <v>7.1527777777777786</v>
      </c>
      <c r="AG25" s="112">
        <f>IFERROR(VLOOKUP(B25,'Staff Engagement'!A:E,2,FALSE),0)</f>
        <v>4.583333333333333</v>
      </c>
      <c r="AH25" s="409">
        <f>IFERROR(VLOOKUP(B25,'Previous Dashboard'!B:CQ,32,FALSE),0)</f>
        <v>6.666666666666667</v>
      </c>
      <c r="AI25" s="110">
        <f>IFERROR(VLOOKUP(B25,'Staff Engagement'!A:E,3,FALSE),0)</f>
        <v>2.5</v>
      </c>
      <c r="AJ25" s="409">
        <f>IFERROR(VLOOKUP(B25,'Previous Dashboard'!B:CQ,34,FALSE),0)</f>
        <v>6.458333333333333</v>
      </c>
      <c r="AK25" s="112">
        <f>IFERROR(VLOOKUP(B25,'Staff Engagement'!A:E,4,FALSE),0)</f>
        <v>5.833333333333333</v>
      </c>
      <c r="AL25" s="271">
        <f>IFERROR(VLOOKUP(B25,'Previous Dashboard'!B:CQ,36,FALSE),0)</f>
        <v>8.3333333333333339</v>
      </c>
      <c r="AM25" s="386">
        <f>IFERROR(VLOOKUP(B25,'Patient Experience'!A:K,9,FALSE),0)</f>
        <v>0.8571428571428571</v>
      </c>
      <c r="AN25" s="60" t="str">
        <f>IFERROR(VLOOKUP(VLOOKUP($B25,'Pulse Mapping'!$A:$C,3,FALSE),'Pulse Survey'!$A:$J,'Pulse Survey'!C$1,FALSE),0)</f>
        <v>-</v>
      </c>
      <c r="AO25" s="63" cm="1">
        <f t="array" ref="AO25">_xlfn.IFS(AN25 = "-",0,AN25 &gt;=Benchmark!R$4,1,AN25&lt;Benchmark!R$4,0)</f>
        <v>0</v>
      </c>
      <c r="AP25" s="43" t="str">
        <f>IFERROR(VLOOKUP(B25,'Previous Dashboard'!B:CR,39,FALSE),0)</f>
        <v>-</v>
      </c>
      <c r="AQ25" s="43" t="str">
        <f>IFERROR(VLOOKUP(VLOOKUP($B25,'Pulse Mapping'!$A:$C,3,FALSE),'Pulse Survey'!$A:$J,'Pulse Survey'!D$1,FALSE),0)</f>
        <v>-</v>
      </c>
      <c r="AR25" s="63" cm="1">
        <f t="array" ref="AR25">_xlfn.IFS(AQ25 = "-",0,AQ25 &gt;=Benchmark!T$4,1,AQ25&lt;Benchmark!T$4,0)</f>
        <v>0</v>
      </c>
      <c r="AS25" s="24" t="str">
        <f>IFERROR(VLOOKUP(B25,'Previous Dashboard'!B:CR,42,FALSE),0)</f>
        <v>-</v>
      </c>
      <c r="AT25" s="43" t="str">
        <f>IFERROR(VLOOKUP(VLOOKUP($B25,'Pulse Mapping'!$A:$C,3,FALSE),'Pulse Survey'!$A:$J,'Pulse Survey'!E$1,FALSE),0)</f>
        <v>-</v>
      </c>
      <c r="AU25" s="63" cm="1">
        <f t="array" ref="AU25">_xlfn.IFS(AT25 = "-",0,AT25 &gt;=Benchmark!V$4,1,AT25&lt;Benchmark!V$4,0)</f>
        <v>0</v>
      </c>
      <c r="AV25" s="24" t="str">
        <f>IFERROR(VLOOKUP(B25,'Previous Dashboard'!B:CR,45,FALSE),0)</f>
        <v>-</v>
      </c>
      <c r="AW25" s="43" t="str">
        <f>IFERROR(VLOOKUP(VLOOKUP($B25,'Pulse Mapping'!$A:$C,3,FALSE),'Pulse Survey'!$A:$J,'Pulse Survey'!F$1,FALSE),0)</f>
        <v>-</v>
      </c>
      <c r="AX25" s="63" cm="1">
        <f t="array" ref="AX25">_xlfn.IFS(AW25 = "-",0,AW25 &gt;=Benchmark!X$4,1,AW25&lt;Benchmark!X$4,0)</f>
        <v>0</v>
      </c>
      <c r="AY25" s="24" t="str">
        <f>IFERROR(VLOOKUP(B25,'Previous Dashboard'!B:CR,48,FALSE),0)</f>
        <v>-</v>
      </c>
      <c r="AZ25" s="43" t="str">
        <f>IFERROR(VLOOKUP(VLOOKUP($B25,'Pulse Mapping'!$A:$C,3,FALSE),'Pulse Survey'!$A:$J,'Pulse Survey'!G$1,FALSE),0)</f>
        <v>-</v>
      </c>
      <c r="BA25" s="63" cm="1">
        <f t="array" ref="BA25">_xlfn.IFS(AZ25 = "-",0,AZ25 &gt;=Benchmark!Z$4,1,AZ25&lt;Benchmark!Z$4,0)</f>
        <v>0</v>
      </c>
      <c r="BB25" s="24" t="str">
        <f>IFERROR(VLOOKUP(B25,'Previous Dashboard'!B:CR,51,FALSE),0)</f>
        <v>-</v>
      </c>
      <c r="BC25" s="43" t="str">
        <f>IFERROR(VLOOKUP(VLOOKUP($B25,'Pulse Mapping'!$A:$C,3,FALSE),'Pulse Survey'!$A:$J,'Pulse Survey'!H$1,FALSE),0)</f>
        <v>-</v>
      </c>
      <c r="BD25" s="63" cm="1">
        <f t="array" ref="BD25">_xlfn.IFS(BC25 = "-",0,BC25 &gt;=Benchmark!AB$4,1,BC25&lt;Benchmark!AB$4,0)</f>
        <v>0</v>
      </c>
      <c r="BE25" s="24" t="str">
        <f>IFERROR(VLOOKUP(B25,'Previous Dashboard'!B:CR,54,FALSE),0)</f>
        <v>-</v>
      </c>
      <c r="BF25" s="43" t="str">
        <f>IFERROR(VLOOKUP(VLOOKUP($B25,'Pulse Mapping'!$A:$C,3,FALSE),'Pulse Survey'!$A:$J,'Pulse Survey'!I$1,FALSE),0)</f>
        <v>-</v>
      </c>
      <c r="BG25" s="63" cm="1">
        <f t="array" ref="BG25">_xlfn.IFS(BF25 = "-",0,BF25 &gt;=Benchmark!AD$4,1,BF25&lt;Benchmark!AD$4,0)</f>
        <v>0</v>
      </c>
      <c r="BH25" s="91" t="str">
        <f>IFERROR(VLOOKUP(B25,'Previous Dashboard'!B:CR,57,FALSE),0)</f>
        <v>-</v>
      </c>
      <c r="BI25" s="44" t="str">
        <f>IFERROR(VLOOKUP(VLOOKUP($B25,'Pulse Mapping'!$A:$C,3,FALSE),'Pulse Survey'!$A:$J,'Pulse Survey'!J$1,FALSE),0)</f>
        <v>-</v>
      </c>
      <c r="BJ25" s="63" cm="1">
        <f t="array" ref="BJ25">_xlfn.IFS(BI25 = "-",0,BI25 &gt;=Benchmark!AF$4,1,BI25&lt;Benchmark!AF$4,0)</f>
        <v>0</v>
      </c>
      <c r="BK25" s="145" t="str">
        <f>IFERROR(VLOOKUP(B25,'Previous Dashboard'!B:CR,60,FALSE),0)</f>
        <v>-</v>
      </c>
      <c r="BL25" s="224">
        <f t="shared" si="4"/>
        <v>0</v>
      </c>
      <c r="BM25" s="325">
        <f>IFERROR(VLOOKUP(B25,'Previous Dashboard'!B:CR,63,FALSE),0)</f>
        <v>0</v>
      </c>
      <c r="BN25" s="285">
        <f t="shared" si="5"/>
        <v>2</v>
      </c>
      <c r="BO25" s="190">
        <f>IFERROR(VLOOKUP(B25,'Previous Dashboard'!B:CR,65,FALSE),0)</f>
        <v>2</v>
      </c>
      <c r="BP25" s="25">
        <f>IFERROR(VLOOKUP(B25,'Previous Dashboard'!B:CR,66,FALSE),0)</f>
        <v>1</v>
      </c>
      <c r="BQ25" s="288">
        <f>IFERROR(VLOOKUP(B25,'Previous Dashboard'!B:CR,67,FALSE),0)</f>
        <v>3</v>
      </c>
      <c r="BR25" s="99"/>
      <c r="BS25" s="403">
        <f>IFERROR(VLOOKUP(B25,'Staff Survey'!B:L,3,FALSE),"-")</f>
        <v>7.2</v>
      </c>
      <c r="BT25" s="401" t="s">
        <v>389</v>
      </c>
      <c r="BU25" s="136">
        <f>IFERROR(VLOOKUP(B25,'Staff Survey'!B:L,4,FALSE),"-")</f>
        <v>5.7</v>
      </c>
      <c r="BV25" s="399" t="s">
        <v>389</v>
      </c>
      <c r="BW25" s="403">
        <f>IFERROR(VLOOKUP(B25,'Staff Survey'!B:L,5,FALSE),"-")</f>
        <v>6.7</v>
      </c>
      <c r="BX25" s="402" t="s">
        <v>389</v>
      </c>
      <c r="BY25" s="403">
        <f>IFERROR(VLOOKUP(B25,'Staff Survey'!B:L,6,FALSE),"-")</f>
        <v>5.9</v>
      </c>
      <c r="BZ25" s="402" t="s">
        <v>389</v>
      </c>
      <c r="CA25" s="403">
        <f>IFERROR(VLOOKUP(B25,'Staff Survey'!B:L,7,FALSE),"-")</f>
        <v>5.2</v>
      </c>
      <c r="CB25" s="428" t="s">
        <v>389</v>
      </c>
      <c r="CC25" s="403">
        <f>IFERROR(VLOOKUP(B25,'Staff Survey'!B:L,8,FALSE),"-")</f>
        <v>5.4</v>
      </c>
      <c r="CD25" s="428" t="s">
        <v>389</v>
      </c>
      <c r="CE25" s="403">
        <f>IFERROR(VLOOKUP(B25,'Staff Survey'!B:L,9,FALSE),"-")</f>
        <v>6.3</v>
      </c>
      <c r="CF25" s="428" t="s">
        <v>389</v>
      </c>
      <c r="CG25" s="140">
        <f>IFERROR(VLOOKUP(B25,'Staff Survey'!B:L,10,FALSE),"-")</f>
        <v>6.9</v>
      </c>
      <c r="CH25" s="277">
        <v>6.8</v>
      </c>
      <c r="CI25" s="412">
        <f>IFERROR(VLOOKUP(B25,'Staff Survey'!B:L,11,FALSE),"-")</f>
        <v>5.9</v>
      </c>
      <c r="CJ25" s="111">
        <v>5.8</v>
      </c>
      <c r="CL25" s="119">
        <f>IFERROR(VLOOKUP(B25,'LfE . HR Ops . F2SU'!A:B,2,FALSE),0)</f>
        <v>4</v>
      </c>
      <c r="CM25" s="119">
        <f>IFERROR(VLOOKUP(B25,'Previous Dashboard'!B:CR,89,FALSE),0)</f>
        <v>4</v>
      </c>
      <c r="CN25" s="124"/>
      <c r="CO25" s="125"/>
      <c r="CP25" s="126"/>
      <c r="CQ25" s="126"/>
    </row>
    <row r="26" spans="1:95" x14ac:dyDescent="0.25">
      <c r="A26" s="651"/>
      <c r="B26" s="543" t="s">
        <v>48</v>
      </c>
      <c r="C26" s="310">
        <f>IFERROR(VLOOKUP(B26,'Staff In Post'!A:C,3,FALSE),0)</f>
        <v>90</v>
      </c>
      <c r="D26" s="246">
        <f>IFERROR(VLOOKUP(B26,'Mandatory Training'!A:C,3,FALSE),0)</f>
        <v>0.77500000000000002</v>
      </c>
      <c r="E26" s="24">
        <f>IFERROR(VLOOKUP(B26,'Previous Dashboard'!B:CR,3,FALSE),0)</f>
        <v>0.64864864864864868</v>
      </c>
      <c r="F26" s="63">
        <f>IF(D26&gt;=Benchmark!C$4,1,0)</f>
        <v>0</v>
      </c>
      <c r="G26" s="17">
        <f>IFERROR(VLOOKUP(B26,Appraisals!A:C,3,FALSE),0)</f>
        <v>0.91228070175438591</v>
      </c>
      <c r="H26" s="24">
        <f>IFERROR(VLOOKUP(B26,'Previous Dashboard'!B:CR,6,FALSE),0)</f>
        <v>0.96226415094339623</v>
      </c>
      <c r="I26" s="63">
        <f>IF(G26&gt;=Benchmark!E$4,1,0)</f>
        <v>1</v>
      </c>
      <c r="J26" s="59">
        <f t="shared" si="0"/>
        <v>0.84364035087719302</v>
      </c>
      <c r="K26" s="91">
        <f t="shared" si="1"/>
        <v>0.80545639979602246</v>
      </c>
      <c r="L26" s="63">
        <f>IF(J26&gt;=Benchmark!G$4,1,0)</f>
        <v>0</v>
      </c>
      <c r="M26" s="51">
        <f>IFERROR(VLOOKUP(B26,Stress!A:D,4,FALSE),"-")</f>
        <v>9.71295235382451E-3</v>
      </c>
      <c r="N26" s="60">
        <f>IFERROR(VLOOKUP(B26,'Previous Dashboard'!B:CR,12,FALSE),0)</f>
        <v>1.7960305836043699E-2</v>
      </c>
      <c r="O26" s="52">
        <f>IFERROR(VLOOKUP(B26,'Musculo Skeletal'!A:D,4,FALSE),"-")</f>
        <v>1.2361939359413E-4</v>
      </c>
      <c r="P26" s="43">
        <f>IFERROR(VLOOKUP(B26,'Previous Dashboard'!B:CR,14,FALSE),0)</f>
        <v>1.7811873556407001E-3</v>
      </c>
      <c r="Q26" s="52">
        <f>IFERROR(VLOOKUP(B26,'All Sickness'!A:D,4,FALSE),"-")</f>
        <v>3.9596957686694502E-2</v>
      </c>
      <c r="R26" s="43">
        <f>IFERROR(VLOOKUP(B26,'Previous Dashboard'!B:CR,16,FALSE),0)</f>
        <v>4.88396526219173E-2</v>
      </c>
      <c r="S26" s="63">
        <f>IF(Q26&lt;=Benchmark!K$4,1,0)</f>
        <v>1</v>
      </c>
      <c r="T26" s="44">
        <f>IFERROR(VLOOKUP(B26,LT.ST!A:C,3,FALSE),"-")</f>
        <v>1.8395743094364602E-2</v>
      </c>
      <c r="U26" s="43">
        <f>IFERROR(VLOOKUP(B26,'Previous Dashboard'!B:CR,19,FALSE),0)</f>
        <v>1.9147764073137501E-2</v>
      </c>
      <c r="V26" s="42">
        <f>IFERROR(VLOOKUP(B26,Turnover!A:C,2,FALSE),0)</f>
        <v>2.7777777777777801E-2</v>
      </c>
      <c r="W26" s="60">
        <f>IFERROR(VLOOKUP(B26,'Previous Dashboard'!B:CR,21,FALSE),0)</f>
        <v>1.3986013986014E-2</v>
      </c>
      <c r="X26" s="63">
        <f>IF(V26&lt;=Benchmark!N$4,1,0)</f>
        <v>1</v>
      </c>
      <c r="Y26" s="159">
        <f>IFERROR(VLOOKUP(B26,Leavers!A:I,6,FALSE),0)</f>
        <v>2</v>
      </c>
      <c r="Z26" s="247">
        <f t="shared" si="2"/>
        <v>2</v>
      </c>
      <c r="AA26" s="298">
        <f>IFERROR(VLOOKUP(B26,'Previous Dashboard'!B:CR,25,FALSE),0)</f>
        <v>1</v>
      </c>
      <c r="AB26" s="188">
        <f>IFERROR(VLOOKUP(VLOOKUP($B26,'Pulse Mapping'!$A:$C,3,FALSE),'Pulse Survey'!$A:$J,2,FALSE),0)</f>
        <v>10</v>
      </c>
      <c r="AC26" s="25">
        <f>IFERROR(VLOOKUP(B26,'Previous Dashboard'!B:CR,27,FALSE),0)</f>
        <v>7</v>
      </c>
      <c r="AD26" s="362">
        <f t="shared" si="3"/>
        <v>0.1111111111111111</v>
      </c>
      <c r="AE26" s="408">
        <f>IFERROR(VLOOKUP(B26,'Staff Engagement'!A:E,5,FALSE),0)</f>
        <v>6.4722222222222232</v>
      </c>
      <c r="AF26" s="409">
        <f>IFERROR(VLOOKUP(B26,'Previous Dashboard'!B:CQ,30,FALSE),0)</f>
        <v>6.4682539682539675</v>
      </c>
      <c r="AG26" s="112">
        <f>IFERROR(VLOOKUP(B26,'Staff Engagement'!A:E,2,FALSE),0)</f>
        <v>6.416666666666667</v>
      </c>
      <c r="AH26" s="409">
        <f>IFERROR(VLOOKUP(B26,'Previous Dashboard'!B:CQ,32,FALSE),0)</f>
        <v>6.7857142857142856</v>
      </c>
      <c r="AI26" s="110">
        <f>IFERROR(VLOOKUP(B26,'Staff Engagement'!A:E,3,FALSE),0)</f>
        <v>5.833333333333333</v>
      </c>
      <c r="AJ26" s="409">
        <f>IFERROR(VLOOKUP(B26,'Previous Dashboard'!B:CQ,34,FALSE),0)</f>
        <v>5.9523809523809526</v>
      </c>
      <c r="AK26" s="112">
        <f>IFERROR(VLOOKUP(B26,'Staff Engagement'!A:E,4,FALSE),0)</f>
        <v>7.166666666666667</v>
      </c>
      <c r="AL26" s="271">
        <f>IFERROR(VLOOKUP(B26,'Previous Dashboard'!B:CQ,36,FALSE),0)</f>
        <v>6.666666666666667</v>
      </c>
      <c r="AM26" s="386">
        <f>IFERROR(VLOOKUP(B26,'Patient Experience'!A:K,9,FALSE),0)</f>
        <v>1</v>
      </c>
      <c r="AN26" s="60">
        <f>IFERROR(VLOOKUP(VLOOKUP($B26,'Pulse Mapping'!$A:$C,3,FALSE),'Pulse Survey'!$A:$J,'Pulse Survey'!C$1,FALSE),0)</f>
        <v>0.7</v>
      </c>
      <c r="AO26" s="63" cm="1">
        <f t="array" ref="AO26">_xlfn.IFS(AN26 = "-",0,AN26 &gt;=Benchmark!R$4,1,AN26&lt;Benchmark!R$4,0)</f>
        <v>1</v>
      </c>
      <c r="AP26" s="43">
        <f>IFERROR(VLOOKUP(B26,'Previous Dashboard'!B:CR,39,FALSE),0)</f>
        <v>0.5714285714285714</v>
      </c>
      <c r="AQ26" s="43">
        <f>IFERROR(VLOOKUP(VLOOKUP($B26,'Pulse Mapping'!$A:$C,3,FALSE),'Pulse Survey'!$A:$J,'Pulse Survey'!D$1,FALSE),0)</f>
        <v>0.7</v>
      </c>
      <c r="AR26" s="63" cm="1">
        <f t="array" ref="AR26">_xlfn.IFS(AQ26 = "-",0,AQ26 &gt;=Benchmark!T$4,1,AQ26&lt;Benchmark!T$4,0)</f>
        <v>1</v>
      </c>
      <c r="AS26" s="24">
        <f>IFERROR(VLOOKUP(B26,'Previous Dashboard'!B:CR,42,FALSE),0)</f>
        <v>0.85714285714285721</v>
      </c>
      <c r="AT26" s="43">
        <f>IFERROR(VLOOKUP(VLOOKUP($B26,'Pulse Mapping'!$A:$C,3,FALSE),'Pulse Survey'!$A:$J,'Pulse Survey'!E$1,FALSE),0)</f>
        <v>0.60000000000000009</v>
      </c>
      <c r="AU26" s="63" cm="1">
        <f t="array" ref="AU26">_xlfn.IFS(AT26 = "-",0,AT26 &gt;=Benchmark!V$4,1,AT26&lt;Benchmark!V$4,0)</f>
        <v>0</v>
      </c>
      <c r="AV26" s="24">
        <f>IFERROR(VLOOKUP(B26,'Previous Dashboard'!B:CR,45,FALSE),0)</f>
        <v>0.5714285714285714</v>
      </c>
      <c r="AW26" s="43">
        <f>IFERROR(VLOOKUP(VLOOKUP($B26,'Pulse Mapping'!$A:$C,3,FALSE),'Pulse Survey'!$A:$J,'Pulse Survey'!F$1,FALSE),0)</f>
        <v>0.7</v>
      </c>
      <c r="AX26" s="63" cm="1">
        <f t="array" ref="AX26">_xlfn.IFS(AW26 = "-",0,AW26 &gt;=Benchmark!X$4,1,AW26&lt;Benchmark!X$4,0)</f>
        <v>1</v>
      </c>
      <c r="AY26" s="24">
        <f>IFERROR(VLOOKUP(B26,'Previous Dashboard'!B:CR,48,FALSE),0)</f>
        <v>0.71428571428571419</v>
      </c>
      <c r="AZ26" s="43">
        <f>IFERROR(VLOOKUP(VLOOKUP($B26,'Pulse Mapping'!$A:$C,3,FALSE),'Pulse Survey'!$A:$J,'Pulse Survey'!G$1,FALSE),0)</f>
        <v>0.6</v>
      </c>
      <c r="BA26" s="63" cm="1">
        <f t="array" ref="BA26">_xlfn.IFS(AZ26 = "-",0,AZ26 &gt;=Benchmark!Z$4,1,AZ26&lt;Benchmark!Z$4,0)</f>
        <v>0</v>
      </c>
      <c r="BB26" s="24">
        <f>IFERROR(VLOOKUP(B26,'Previous Dashboard'!B:CR,51,FALSE),0)</f>
        <v>0.71428571428571419</v>
      </c>
      <c r="BC26" s="43">
        <f>IFERROR(VLOOKUP(VLOOKUP($B26,'Pulse Mapping'!$A:$C,3,FALSE),'Pulse Survey'!$A:$J,'Pulse Survey'!H$1,FALSE),0)</f>
        <v>0.4</v>
      </c>
      <c r="BD26" s="63" cm="1">
        <f t="array" ref="BD26">_xlfn.IFS(BC26 = "-",0,BC26 &gt;=Benchmark!AB$4,1,BC26&lt;Benchmark!AB$4,0)</f>
        <v>0</v>
      </c>
      <c r="BE26" s="24">
        <f>IFERROR(VLOOKUP(B26,'Previous Dashboard'!B:CR,54,FALSE),0)</f>
        <v>0.5714285714285714</v>
      </c>
      <c r="BF26" s="43">
        <f>IFERROR(VLOOKUP(VLOOKUP($B26,'Pulse Mapping'!$A:$C,3,FALSE),'Pulse Survey'!$A:$J,'Pulse Survey'!I$1,FALSE),0)</f>
        <v>0.5</v>
      </c>
      <c r="BG26" s="63" cm="1">
        <f t="array" ref="BG26">_xlfn.IFS(BF26 = "-",0,BF26 &gt;=Benchmark!AD$4,1,BF26&lt;Benchmark!AD$4,0)</f>
        <v>0</v>
      </c>
      <c r="BH26" s="91">
        <f>IFERROR(VLOOKUP(B26,'Previous Dashboard'!B:CR,57,FALSE),0)</f>
        <v>0.71428571428571419</v>
      </c>
      <c r="BI26" s="44">
        <f>IFERROR(VLOOKUP(VLOOKUP($B26,'Pulse Mapping'!$A:$C,3,FALSE),'Pulse Survey'!$A:$J,'Pulse Survey'!J$1,FALSE),0)</f>
        <v>0.5</v>
      </c>
      <c r="BJ26" s="63" cm="1">
        <f t="array" ref="BJ26">_xlfn.IFS(BI26 = "-",0,BI26 &gt;=Benchmark!AF$4,1,BI26&lt;Benchmark!AF$4,0)</f>
        <v>0</v>
      </c>
      <c r="BK26" s="145">
        <f>IFERROR(VLOOKUP(B26,'Previous Dashboard'!B:CR,60,FALSE),0)</f>
        <v>0.71428571428571419</v>
      </c>
      <c r="BL26" s="224">
        <f t="shared" si="4"/>
        <v>3</v>
      </c>
      <c r="BM26" s="325">
        <f>IFERROR(VLOOKUP(B26,'Previous Dashboard'!B:CR,63,FALSE),0)</f>
        <v>5</v>
      </c>
      <c r="BN26" s="285">
        <f t="shared" si="5"/>
        <v>5</v>
      </c>
      <c r="BO26" s="190">
        <f>IFERROR(VLOOKUP(B26,'Previous Dashboard'!B:CR,65,FALSE),0)</f>
        <v>6</v>
      </c>
      <c r="BP26" s="25">
        <f>IFERROR(VLOOKUP(B26,'Previous Dashboard'!B:CR,66,FALSE),0)</f>
        <v>1</v>
      </c>
      <c r="BQ26" s="288">
        <f>IFERROR(VLOOKUP(B26,'Previous Dashboard'!B:CR,67,FALSE),0)</f>
        <v>9</v>
      </c>
      <c r="BR26" s="99"/>
      <c r="BS26" s="403">
        <f>IFERROR(VLOOKUP(B26,'Staff Survey'!B:L,3,FALSE),"-")</f>
        <v>7.5</v>
      </c>
      <c r="BT26" s="401" t="s">
        <v>389</v>
      </c>
      <c r="BU26" s="136">
        <f>IFERROR(VLOOKUP(B26,'Staff Survey'!B:L,4,FALSE),"-")</f>
        <v>6.2</v>
      </c>
      <c r="BV26" s="399" t="s">
        <v>389</v>
      </c>
      <c r="BW26" s="403">
        <f>IFERROR(VLOOKUP(B26,'Staff Survey'!B:L,5,FALSE),"-")</f>
        <v>7</v>
      </c>
      <c r="BX26" s="402" t="s">
        <v>389</v>
      </c>
      <c r="BY26" s="403">
        <f>IFERROR(VLOOKUP(B26,'Staff Survey'!B:L,6,FALSE),"-")</f>
        <v>6.4</v>
      </c>
      <c r="BZ26" s="402" t="s">
        <v>389</v>
      </c>
      <c r="CA26" s="403">
        <f>IFERROR(VLOOKUP(B26,'Staff Survey'!B:L,7,FALSE),"-")</f>
        <v>5.6</v>
      </c>
      <c r="CB26" s="428" t="s">
        <v>389</v>
      </c>
      <c r="CC26" s="403">
        <f>IFERROR(VLOOKUP(B26,'Staff Survey'!B:L,8,FALSE),"-")</f>
        <v>6.5</v>
      </c>
      <c r="CD26" s="428" t="s">
        <v>389</v>
      </c>
      <c r="CE26" s="403">
        <f>IFERROR(VLOOKUP(B26,'Staff Survey'!B:L,9,FALSE),"-")</f>
        <v>6.8</v>
      </c>
      <c r="CF26" s="428" t="s">
        <v>389</v>
      </c>
      <c r="CG26" s="140">
        <f>IFERROR(VLOOKUP(B26,'Staff Survey'!B:L,10,FALSE),"-")</f>
        <v>7.1</v>
      </c>
      <c r="CH26" s="277">
        <v>6.1</v>
      </c>
      <c r="CI26" s="412">
        <f>IFERROR(VLOOKUP(B26,'Staff Survey'!B:L,11,FALSE),"-")</f>
        <v>6.2</v>
      </c>
      <c r="CJ26" s="111">
        <v>5.3</v>
      </c>
      <c r="CL26" s="119">
        <f>IFERROR(VLOOKUP(B26,'LfE . HR Ops . F2SU'!A:B,2,FALSE),0)</f>
        <v>6</v>
      </c>
      <c r="CM26" s="119">
        <f>IFERROR(VLOOKUP(B26,'Previous Dashboard'!B:CR,89,FALSE),0)</f>
        <v>3</v>
      </c>
      <c r="CN26" s="124"/>
      <c r="CO26" s="125"/>
      <c r="CP26" s="126"/>
      <c r="CQ26" s="126"/>
    </row>
    <row r="27" spans="1:95" x14ac:dyDescent="0.25">
      <c r="A27" s="651"/>
      <c r="B27" s="543" t="s">
        <v>49</v>
      </c>
      <c r="C27" s="310">
        <f>IFERROR(VLOOKUP(B27,'Staff In Post'!A:C,3,FALSE),0)</f>
        <v>151</v>
      </c>
      <c r="D27" s="246">
        <f>IFERROR(VLOOKUP(B27,'Mandatory Training'!A:C,3,FALSE),0)</f>
        <v>0.58677685950413228</v>
      </c>
      <c r="E27" s="24">
        <f>IFERROR(VLOOKUP(B27,'Previous Dashboard'!B:CR,3,FALSE),0)</f>
        <v>0.67441860465116277</v>
      </c>
      <c r="F27" s="63">
        <f>IF(D27&gt;=Benchmark!C$4,1,0)</f>
        <v>0</v>
      </c>
      <c r="G27" s="17">
        <f>IFERROR(VLOOKUP(B27,Appraisals!A:C,3,FALSE),0)</f>
        <v>0.89873417721518989</v>
      </c>
      <c r="H27" s="24">
        <f>IFERROR(VLOOKUP(B27,'Previous Dashboard'!B:CR,6,FALSE),0)</f>
        <v>0.88888888888888884</v>
      </c>
      <c r="I27" s="63">
        <f>IF(G27&gt;=Benchmark!E$4,1,0)</f>
        <v>0</v>
      </c>
      <c r="J27" s="59">
        <f t="shared" si="0"/>
        <v>0.74275551835966103</v>
      </c>
      <c r="K27" s="91">
        <f t="shared" si="1"/>
        <v>0.78165374677002575</v>
      </c>
      <c r="L27" s="63">
        <f>IF(J27&gt;=Benchmark!G$4,1,0)</f>
        <v>0</v>
      </c>
      <c r="M27" s="51">
        <f>IFERROR(VLOOKUP(B27,Stress!A:D,4,FALSE),"-")</f>
        <v>5.9289689924783102E-3</v>
      </c>
      <c r="N27" s="60">
        <f>IFERROR(VLOOKUP(B27,'Previous Dashboard'!B:CR,12,FALSE),0)</f>
        <v>9.4495702931406706E-3</v>
      </c>
      <c r="O27" s="52">
        <f>IFERROR(VLOOKUP(B27,'Musculo Skeletal'!A:D,4,FALSE),"-")</f>
        <v>3.1395998064990098E-3</v>
      </c>
      <c r="P27" s="43">
        <f>IFERROR(VLOOKUP(B27,'Previous Dashboard'!B:CR,14,FALSE),0)</f>
        <v>5.0949557925667995E-4</v>
      </c>
      <c r="Q27" s="52">
        <f>IFERROR(VLOOKUP(B27,'All Sickness'!A:D,4,FALSE),"-")</f>
        <v>6.1321413972055601E-2</v>
      </c>
      <c r="R27" s="43">
        <f>IFERROR(VLOOKUP(B27,'Previous Dashboard'!B:CR,16,FALSE),0)</f>
        <v>3.7631920377875598E-2</v>
      </c>
      <c r="S27" s="63">
        <f>IF(Q27&lt;=Benchmark!K$4,1,0)</f>
        <v>0</v>
      </c>
      <c r="T27" s="44">
        <f>IFERROR(VLOOKUP(B27,LT.ST!A:C,3,FALSE),"-")</f>
        <v>1.6045086935432898E-2</v>
      </c>
      <c r="U27" s="43">
        <f>IFERROR(VLOOKUP(B27,'Previous Dashboard'!B:CR,19,FALSE),0)</f>
        <v>4.5199420080869902E-3</v>
      </c>
      <c r="V27" s="42">
        <f>IFERROR(VLOOKUP(B27,Turnover!A:C,2,FALSE),0)</f>
        <v>5.5335968379446598E-2</v>
      </c>
      <c r="W27" s="60">
        <f>IFERROR(VLOOKUP(B27,'Previous Dashboard'!B:CR,21,FALSE),0)</f>
        <v>4.6511627906976799E-2</v>
      </c>
      <c r="X27" s="63">
        <f>IF(V27&lt;=Benchmark!N$4,1,0)</f>
        <v>1</v>
      </c>
      <c r="Y27" s="159">
        <f>IFERROR(VLOOKUP(B27,Leavers!A:I,6,FALSE),0)</f>
        <v>7</v>
      </c>
      <c r="Z27" s="247">
        <f t="shared" si="2"/>
        <v>1</v>
      </c>
      <c r="AA27" s="298">
        <f>IFERROR(VLOOKUP(B27,'Previous Dashboard'!B:CR,25,FALSE),0)</f>
        <v>2</v>
      </c>
      <c r="AB27" s="188">
        <f>IFERROR(VLOOKUP(VLOOKUP($B27,'Pulse Mapping'!$A:$C,3,FALSE),'Pulse Survey'!$A:$J,2,FALSE),0)</f>
        <v>9</v>
      </c>
      <c r="AC27" s="25">
        <f>IFERROR(VLOOKUP(B27,'Previous Dashboard'!B:CR,27,FALSE),0)</f>
        <v>10</v>
      </c>
      <c r="AD27" s="362">
        <f t="shared" si="3"/>
        <v>5.9602649006622516E-2</v>
      </c>
      <c r="AE27" s="408">
        <f>IFERROR(VLOOKUP(B27,'Staff Engagement'!A:E,5,FALSE),0)</f>
        <v>5.9876543209876543</v>
      </c>
      <c r="AF27" s="409">
        <f>IFERROR(VLOOKUP(B27,'Previous Dashboard'!B:CQ,30,FALSE),0)</f>
        <v>6.5277777777777777</v>
      </c>
      <c r="AG27" s="112">
        <f>IFERROR(VLOOKUP(B27,'Staff Engagement'!A:E,2,FALSE),0)</f>
        <v>5.4629629629629628</v>
      </c>
      <c r="AH27" s="409">
        <f>IFERROR(VLOOKUP(B27,'Previous Dashboard'!B:CQ,32,FALSE),0)</f>
        <v>5.666666666666667</v>
      </c>
      <c r="AI27" s="110">
        <f>IFERROR(VLOOKUP(B27,'Staff Engagement'!A:E,3,FALSE),0)</f>
        <v>5.833333333333333</v>
      </c>
      <c r="AJ27" s="409">
        <f>IFERROR(VLOOKUP(B27,'Previous Dashboard'!B:CQ,34,FALSE),0)</f>
        <v>7.083333333333333</v>
      </c>
      <c r="AK27" s="112">
        <f>IFERROR(VLOOKUP(B27,'Staff Engagement'!A:E,4,FALSE),0)</f>
        <v>6.666666666666667</v>
      </c>
      <c r="AL27" s="271">
        <f>IFERROR(VLOOKUP(B27,'Previous Dashboard'!B:CQ,36,FALSE),0)</f>
        <v>6.833333333333333</v>
      </c>
      <c r="AM27" s="386">
        <f>IFERROR(VLOOKUP(B27,'Patient Experience'!A:K,9,FALSE),0)</f>
        <v>0.84745762711864403</v>
      </c>
      <c r="AN27" s="60">
        <f>IFERROR(VLOOKUP(VLOOKUP($B27,'Pulse Mapping'!$A:$C,3,FALSE),'Pulse Survey'!$A:$J,'Pulse Survey'!C$1,FALSE),0)</f>
        <v>0.44444444444444442</v>
      </c>
      <c r="AO27" s="63" cm="1">
        <f t="array" ref="AO27">_xlfn.IFS(AN27 = "-",0,AN27 &gt;=Benchmark!R$4,1,AN27&lt;Benchmark!R$4,0)</f>
        <v>0</v>
      </c>
      <c r="AP27" s="43">
        <f>IFERROR(VLOOKUP(B27,'Previous Dashboard'!B:CR,39,FALSE),0)</f>
        <v>0.3</v>
      </c>
      <c r="AQ27" s="43">
        <f>IFERROR(VLOOKUP(VLOOKUP($B27,'Pulse Mapping'!$A:$C,3,FALSE),'Pulse Survey'!$A:$J,'Pulse Survey'!D$1,FALSE),0)</f>
        <v>0.55555555555555558</v>
      </c>
      <c r="AR27" s="63" cm="1">
        <f t="array" ref="AR27">_xlfn.IFS(AQ27 = "-",0,AQ27 &gt;=Benchmark!T$4,1,AQ27&lt;Benchmark!T$4,0)</f>
        <v>0</v>
      </c>
      <c r="AS27" s="24">
        <f>IFERROR(VLOOKUP(B27,'Previous Dashboard'!B:CR,42,FALSE),0)</f>
        <v>0.4</v>
      </c>
      <c r="AT27" s="43">
        <f>IFERROR(VLOOKUP(VLOOKUP($B27,'Pulse Mapping'!$A:$C,3,FALSE),'Pulse Survey'!$A:$J,'Pulse Survey'!E$1,FALSE),0)</f>
        <v>0.66666666666666663</v>
      </c>
      <c r="AU27" s="63" cm="1">
        <f t="array" ref="AU27">_xlfn.IFS(AT27 = "-",0,AT27 &gt;=Benchmark!V$4,1,AT27&lt;Benchmark!V$4,0)</f>
        <v>0</v>
      </c>
      <c r="AV27" s="24">
        <f>IFERROR(VLOOKUP(B27,'Previous Dashboard'!B:CR,45,FALSE),0)</f>
        <v>0.5</v>
      </c>
      <c r="AW27" s="43">
        <f>IFERROR(VLOOKUP(VLOOKUP($B27,'Pulse Mapping'!$A:$C,3,FALSE),'Pulse Survey'!$A:$J,'Pulse Survey'!F$1,FALSE),0)</f>
        <v>0.55555555555555558</v>
      </c>
      <c r="AX27" s="63" cm="1">
        <f t="array" ref="AX27">_xlfn.IFS(AW27 = "-",0,AW27 &gt;=Benchmark!X$4,1,AW27&lt;Benchmark!X$4,0)</f>
        <v>0</v>
      </c>
      <c r="AY27" s="24">
        <f>IFERROR(VLOOKUP(B27,'Previous Dashboard'!B:CR,48,FALSE),0)</f>
        <v>0.8</v>
      </c>
      <c r="AZ27" s="43">
        <f>IFERROR(VLOOKUP(VLOOKUP($B27,'Pulse Mapping'!$A:$C,3,FALSE),'Pulse Survey'!$A:$J,'Pulse Survey'!G$1,FALSE),0)</f>
        <v>0.77777777777777779</v>
      </c>
      <c r="BA27" s="63" cm="1">
        <f t="array" ref="BA27">_xlfn.IFS(AZ27 = "-",0,AZ27 &gt;=Benchmark!Z$4,1,AZ27&lt;Benchmark!Z$4,0)</f>
        <v>1</v>
      </c>
      <c r="BB27" s="24">
        <f>IFERROR(VLOOKUP(B27,'Previous Dashboard'!B:CR,51,FALSE),0)</f>
        <v>0.6</v>
      </c>
      <c r="BC27" s="43">
        <f>IFERROR(VLOOKUP(VLOOKUP($B27,'Pulse Mapping'!$A:$C,3,FALSE),'Pulse Survey'!$A:$J,'Pulse Survey'!H$1,FALSE),0)</f>
        <v>0.66666666666666663</v>
      </c>
      <c r="BD27" s="63" cm="1">
        <f t="array" ref="BD27">_xlfn.IFS(BC27 = "-",0,BC27 &gt;=Benchmark!AB$4,1,BC27&lt;Benchmark!AB$4,0)</f>
        <v>0</v>
      </c>
      <c r="BE27" s="24">
        <f>IFERROR(VLOOKUP(B27,'Previous Dashboard'!B:CR,54,FALSE),0)</f>
        <v>0.7</v>
      </c>
      <c r="BF27" s="43">
        <f>IFERROR(VLOOKUP(VLOOKUP($B27,'Pulse Mapping'!$A:$C,3,FALSE),'Pulse Survey'!$A:$J,'Pulse Survey'!I$1,FALSE),0)</f>
        <v>0.66666666666666663</v>
      </c>
      <c r="BG27" s="63" cm="1">
        <f t="array" ref="BG27">_xlfn.IFS(BF27 = "-",0,BF27 &gt;=Benchmark!AD$4,1,BF27&lt;Benchmark!AD$4,0)</f>
        <v>0</v>
      </c>
      <c r="BH27" s="91">
        <f>IFERROR(VLOOKUP(B27,'Previous Dashboard'!B:CR,57,FALSE),0)</f>
        <v>0.8</v>
      </c>
      <c r="BI27" s="44">
        <f>IFERROR(VLOOKUP(VLOOKUP($B27,'Pulse Mapping'!$A:$C,3,FALSE),'Pulse Survey'!$A:$J,'Pulse Survey'!J$1,FALSE),0)</f>
        <v>0.55555555555555558</v>
      </c>
      <c r="BJ27" s="63" cm="1">
        <f t="array" ref="BJ27">_xlfn.IFS(BI27 = "-",0,BI27 &gt;=Benchmark!AF$4,1,BI27&lt;Benchmark!AF$4,0)</f>
        <v>0</v>
      </c>
      <c r="BK27" s="145">
        <f>IFERROR(VLOOKUP(B27,'Previous Dashboard'!B:CR,60,FALSE),0)</f>
        <v>0.8</v>
      </c>
      <c r="BL27" s="224">
        <f t="shared" si="4"/>
        <v>1</v>
      </c>
      <c r="BM27" s="325">
        <f>IFERROR(VLOOKUP(B27,'Previous Dashboard'!B:CR,63,FALSE),0)</f>
        <v>4</v>
      </c>
      <c r="BN27" s="285">
        <f t="shared" si="5"/>
        <v>2</v>
      </c>
      <c r="BO27" s="190">
        <f>IFERROR(VLOOKUP(B27,'Previous Dashboard'!B:CR,65,FALSE),0)</f>
        <v>6</v>
      </c>
      <c r="BP27" s="25">
        <f>IFERROR(VLOOKUP(B27,'Previous Dashboard'!B:CR,66,FALSE),0)</f>
        <v>1</v>
      </c>
      <c r="BQ27" s="288">
        <f>IFERROR(VLOOKUP(B27,'Previous Dashboard'!B:CR,67,FALSE),0)</f>
        <v>3</v>
      </c>
      <c r="BR27" s="99"/>
      <c r="BS27" s="403">
        <f>IFERROR(VLOOKUP(B27,'Staff Survey'!B:L,3,FALSE),"-")</f>
        <v>6.9</v>
      </c>
      <c r="BT27" s="401" t="s">
        <v>389</v>
      </c>
      <c r="BU27" s="136">
        <f>IFERROR(VLOOKUP(B27,'Staff Survey'!B:L,4,FALSE),"-")</f>
        <v>5.3</v>
      </c>
      <c r="BV27" s="399" t="s">
        <v>389</v>
      </c>
      <c r="BW27" s="403">
        <f>IFERROR(VLOOKUP(B27,'Staff Survey'!B:L,5,FALSE),"-")</f>
        <v>6.4</v>
      </c>
      <c r="BX27" s="402" t="s">
        <v>389</v>
      </c>
      <c r="BY27" s="403">
        <f>IFERROR(VLOOKUP(B27,'Staff Survey'!B:L,6,FALSE),"-")</f>
        <v>5.3</v>
      </c>
      <c r="BZ27" s="402" t="s">
        <v>389</v>
      </c>
      <c r="CA27" s="403">
        <f>IFERROR(VLOOKUP(B27,'Staff Survey'!B:L,7,FALSE),"-")</f>
        <v>5.0999999999999996</v>
      </c>
      <c r="CB27" s="428" t="s">
        <v>389</v>
      </c>
      <c r="CC27" s="403">
        <f>IFERROR(VLOOKUP(B27,'Staff Survey'!B:L,8,FALSE),"-")</f>
        <v>5.7</v>
      </c>
      <c r="CD27" s="428" t="s">
        <v>389</v>
      </c>
      <c r="CE27" s="403">
        <f>IFERROR(VLOOKUP(B27,'Staff Survey'!B:L,9,FALSE),"-")</f>
        <v>6.3</v>
      </c>
      <c r="CF27" s="428" t="s">
        <v>389</v>
      </c>
      <c r="CG27" s="140">
        <f>IFERROR(VLOOKUP(B27,'Staff Survey'!B:L,10,FALSE),"-")</f>
        <v>6.5</v>
      </c>
      <c r="CH27" s="409">
        <v>7</v>
      </c>
      <c r="CI27" s="412">
        <f>IFERROR(VLOOKUP(B27,'Staff Survey'!B:L,11,FALSE),"-")</f>
        <v>5.2</v>
      </c>
      <c r="CJ27" s="271">
        <v>6.5</v>
      </c>
      <c r="CL27" s="119">
        <f>IFERROR(VLOOKUP(B27,'LfE . HR Ops . F2SU'!A:B,2,FALSE),0)</f>
        <v>24</v>
      </c>
      <c r="CM27" s="119">
        <f>IFERROR(VLOOKUP(B27,'Previous Dashboard'!B:CR,89,FALSE),0)</f>
        <v>29</v>
      </c>
      <c r="CN27" s="124"/>
      <c r="CO27" s="125"/>
      <c r="CP27" s="126"/>
      <c r="CQ27" s="126"/>
    </row>
    <row r="28" spans="1:95" x14ac:dyDescent="0.25">
      <c r="A28" s="651"/>
      <c r="B28" s="544" t="s">
        <v>51</v>
      </c>
      <c r="C28" s="310">
        <f>IFERROR(VLOOKUP(B28,'Staff In Post'!A:C,3,FALSE),0)</f>
        <v>16</v>
      </c>
      <c r="D28" s="246">
        <f>IFERROR(VLOOKUP(B28,'Mandatory Training'!A:C,3,FALSE),0)</f>
        <v>0.6428571428571429</v>
      </c>
      <c r="E28" s="24">
        <f>IFERROR(VLOOKUP(B28,'Previous Dashboard'!B:CR,3,FALSE),0)</f>
        <v>0.75</v>
      </c>
      <c r="F28" s="63">
        <f>IF(D28&gt;=Benchmark!C$4,1,0)</f>
        <v>0</v>
      </c>
      <c r="G28" s="17">
        <f>IFERROR(VLOOKUP(B28,Appraisals!A:C,3,FALSE),0)</f>
        <v>1</v>
      </c>
      <c r="H28" s="24">
        <f>IFERROR(VLOOKUP(B28,'Previous Dashboard'!B:CR,6,FALSE),0)</f>
        <v>0.83333333333333337</v>
      </c>
      <c r="I28" s="63">
        <f>IF(G28&gt;=Benchmark!E$4,1,0)</f>
        <v>1</v>
      </c>
      <c r="J28" s="59">
        <f t="shared" si="0"/>
        <v>0.8214285714285714</v>
      </c>
      <c r="K28" s="91">
        <f t="shared" si="1"/>
        <v>0.79166666666666674</v>
      </c>
      <c r="L28" s="63">
        <f>IF(J28&gt;=Benchmark!G$4,1,0)</f>
        <v>0</v>
      </c>
      <c r="M28" s="51">
        <f>IFERROR(VLOOKUP(B28,Stress!A:D,4,FALSE),"-")</f>
        <v>1.1788977306218701E-2</v>
      </c>
      <c r="N28" s="60">
        <f>IFERROR(VLOOKUP(B28,'Previous Dashboard'!B:CR,12,FALSE),0)</f>
        <v>0</v>
      </c>
      <c r="O28" s="52">
        <f>IFERROR(VLOOKUP(B28,'Musculo Skeletal'!A:D,4,FALSE),"-")</f>
        <v>0</v>
      </c>
      <c r="P28" s="43">
        <f>IFERROR(VLOOKUP(B28,'Previous Dashboard'!B:CR,14,FALSE),0)</f>
        <v>0</v>
      </c>
      <c r="Q28" s="52">
        <f>IFERROR(VLOOKUP(B28,'All Sickness'!A:D,4,FALSE),"-")</f>
        <v>1.7742410845859102E-2</v>
      </c>
      <c r="R28" s="43">
        <f>IFERROR(VLOOKUP(B28,'Previous Dashboard'!B:CR,16,FALSE),0)</f>
        <v>1.14007537688442E-2</v>
      </c>
      <c r="S28" s="63">
        <f>IF(Q28&lt;=Benchmark!K$4,1,0)</f>
        <v>1</v>
      </c>
      <c r="T28" s="44">
        <f>IFERROR(VLOOKUP(B28,LT.ST!A:C,3,FALSE),"-")</f>
        <v>0</v>
      </c>
      <c r="U28" s="43">
        <f>IFERROR(VLOOKUP(B28,'Previous Dashboard'!B:CR,19,FALSE),0)</f>
        <v>0</v>
      </c>
      <c r="V28" s="42">
        <f>IFERROR(VLOOKUP(B28,Turnover!A:C,2,FALSE),0)</f>
        <v>0</v>
      </c>
      <c r="W28" s="60">
        <f>IFERROR(VLOOKUP(B28,'Previous Dashboard'!B:CR,21,FALSE),0)</f>
        <v>0</v>
      </c>
      <c r="X28" s="63">
        <f>IF(V28&lt;=Benchmark!N$4,1,0)</f>
        <v>1</v>
      </c>
      <c r="Y28" s="159">
        <f>IFERROR(VLOOKUP(B28,Leavers!A:I,6,FALSE),0)</f>
        <v>0</v>
      </c>
      <c r="Z28" s="247">
        <f t="shared" si="2"/>
        <v>2</v>
      </c>
      <c r="AA28" s="298">
        <f>IFERROR(VLOOKUP(B28,'Previous Dashboard'!B:CR,25,FALSE),0)</f>
        <v>2</v>
      </c>
      <c r="AB28" s="188">
        <f>IFERROR(VLOOKUP(VLOOKUP($B28,'Pulse Mapping'!$A:$C,3,FALSE),'Pulse Survey'!$A:$J,2,FALSE),0)</f>
        <v>1</v>
      </c>
      <c r="AC28" s="25">
        <f>IFERROR(VLOOKUP(B28,'Previous Dashboard'!B:CR,27,FALSE),0)</f>
        <v>2</v>
      </c>
      <c r="AD28" s="362">
        <f t="shared" si="3"/>
        <v>6.25E-2</v>
      </c>
      <c r="AE28" s="388"/>
      <c r="AF28" s="515"/>
      <c r="AG28" s="515"/>
      <c r="AH28" s="113"/>
      <c r="AI28" s="89"/>
      <c r="AJ28" s="89"/>
      <c r="AK28" s="515"/>
      <c r="AL28" s="517"/>
      <c r="AM28" s="388"/>
      <c r="AN28" s="60" t="str">
        <f>IFERROR(VLOOKUP(VLOOKUP($B28,'Pulse Mapping'!$A:$C,3,FALSE),'Pulse Survey'!$A:$J,'Pulse Survey'!C$1,FALSE),0)</f>
        <v>-</v>
      </c>
      <c r="AO28" s="63" cm="1">
        <f t="array" ref="AO28">_xlfn.IFS(AN28 = "-",0,AN28 &gt;=Benchmark!R$4,1,AN28&lt;Benchmark!R$4,0)</f>
        <v>0</v>
      </c>
      <c r="AP28" s="43" t="str">
        <f>IFERROR(VLOOKUP(B28,'Previous Dashboard'!B:CR,39,FALSE),0)</f>
        <v>-</v>
      </c>
      <c r="AQ28" s="43" t="str">
        <f>IFERROR(VLOOKUP(VLOOKUP($B28,'Pulse Mapping'!$A:$C,3,FALSE),'Pulse Survey'!$A:$J,'Pulse Survey'!D$1,FALSE),0)</f>
        <v>-</v>
      </c>
      <c r="AR28" s="63" cm="1">
        <f t="array" ref="AR28">_xlfn.IFS(AQ28 = "-",0,AQ28 &gt;=Benchmark!T$4,1,AQ28&lt;Benchmark!T$4,0)</f>
        <v>0</v>
      </c>
      <c r="AS28" s="24" t="str">
        <f>IFERROR(VLOOKUP(B28,'Previous Dashboard'!B:CR,42,FALSE),0)</f>
        <v>-</v>
      </c>
      <c r="AT28" s="43" t="str">
        <f>IFERROR(VLOOKUP(VLOOKUP($B28,'Pulse Mapping'!$A:$C,3,FALSE),'Pulse Survey'!$A:$J,'Pulse Survey'!E$1,FALSE),0)</f>
        <v>-</v>
      </c>
      <c r="AU28" s="63" cm="1">
        <f t="array" ref="AU28">_xlfn.IFS(AT28 = "-",0,AT28 &gt;=Benchmark!V$4,1,AT28&lt;Benchmark!V$4,0)</f>
        <v>0</v>
      </c>
      <c r="AV28" s="24" t="str">
        <f>IFERROR(VLOOKUP(B28,'Previous Dashboard'!B:CR,45,FALSE),0)</f>
        <v>-</v>
      </c>
      <c r="AW28" s="43" t="str">
        <f>IFERROR(VLOOKUP(VLOOKUP($B28,'Pulse Mapping'!$A:$C,3,FALSE),'Pulse Survey'!$A:$J,'Pulse Survey'!F$1,FALSE),0)</f>
        <v>-</v>
      </c>
      <c r="AX28" s="63" cm="1">
        <f t="array" ref="AX28">_xlfn.IFS(AW28 = "-",0,AW28 &gt;=Benchmark!X$4,1,AW28&lt;Benchmark!X$4,0)</f>
        <v>0</v>
      </c>
      <c r="AY28" s="24" t="str">
        <f>IFERROR(VLOOKUP(B28,'Previous Dashboard'!B:CR,48,FALSE),0)</f>
        <v>-</v>
      </c>
      <c r="AZ28" s="43" t="str">
        <f>IFERROR(VLOOKUP(VLOOKUP($B28,'Pulse Mapping'!$A:$C,3,FALSE),'Pulse Survey'!$A:$J,'Pulse Survey'!G$1,FALSE),0)</f>
        <v>-</v>
      </c>
      <c r="BA28" s="63" cm="1">
        <f t="array" ref="BA28">_xlfn.IFS(AZ28 = "-",0,AZ28 &gt;=Benchmark!Z$4,1,AZ28&lt;Benchmark!Z$4,0)</f>
        <v>0</v>
      </c>
      <c r="BB28" s="24" t="str">
        <f>IFERROR(VLOOKUP(B28,'Previous Dashboard'!B:CR,51,FALSE),0)</f>
        <v>-</v>
      </c>
      <c r="BC28" s="43" t="str">
        <f>IFERROR(VLOOKUP(VLOOKUP($B28,'Pulse Mapping'!$A:$C,3,FALSE),'Pulse Survey'!$A:$J,'Pulse Survey'!H$1,FALSE),0)</f>
        <v>-</v>
      </c>
      <c r="BD28" s="63" cm="1">
        <f t="array" ref="BD28">_xlfn.IFS(BC28 = "-",0,BC28 &gt;=Benchmark!AB$4,1,BC28&lt;Benchmark!AB$4,0)</f>
        <v>0</v>
      </c>
      <c r="BE28" s="24" t="str">
        <f>IFERROR(VLOOKUP(B28,'Previous Dashboard'!B:CR,54,FALSE),0)</f>
        <v>-</v>
      </c>
      <c r="BF28" s="43" t="str">
        <f>IFERROR(VLOOKUP(VLOOKUP($B28,'Pulse Mapping'!$A:$C,3,FALSE),'Pulse Survey'!$A:$J,'Pulse Survey'!I$1,FALSE),0)</f>
        <v>-</v>
      </c>
      <c r="BG28" s="63" cm="1">
        <f t="array" ref="BG28">_xlfn.IFS(BF28 = "-",0,BF28 &gt;=Benchmark!AD$4,1,BF28&lt;Benchmark!AD$4,0)</f>
        <v>0</v>
      </c>
      <c r="BH28" s="91" t="str">
        <f>IFERROR(VLOOKUP(B28,'Previous Dashboard'!B:CR,57,FALSE),0)</f>
        <v>-</v>
      </c>
      <c r="BI28" s="44" t="str">
        <f>IFERROR(VLOOKUP(VLOOKUP($B28,'Pulse Mapping'!$A:$C,3,FALSE),'Pulse Survey'!$A:$J,'Pulse Survey'!J$1,FALSE),0)</f>
        <v>-</v>
      </c>
      <c r="BJ28" s="63" cm="1">
        <f t="array" ref="BJ28">_xlfn.IFS(BI28 = "-",0,BI28 &gt;=Benchmark!AF$4,1,BI28&lt;Benchmark!AF$4,0)</f>
        <v>0</v>
      </c>
      <c r="BK28" s="145" t="str">
        <f>IFERROR(VLOOKUP(B28,'Previous Dashboard'!B:CR,60,FALSE),0)</f>
        <v>-</v>
      </c>
      <c r="BL28" s="224">
        <f t="shared" si="4"/>
        <v>0</v>
      </c>
      <c r="BM28" s="325">
        <f>IFERROR(VLOOKUP(B28,'Previous Dashboard'!B:CR,63,FALSE),0)</f>
        <v>0</v>
      </c>
      <c r="BN28" s="285">
        <f t="shared" si="5"/>
        <v>2</v>
      </c>
      <c r="BO28" s="190">
        <f>IFERROR(VLOOKUP(B28,'Previous Dashboard'!B:CR,65,FALSE),0)</f>
        <v>2</v>
      </c>
      <c r="BP28" s="25">
        <f>IFERROR(VLOOKUP(B28,'Previous Dashboard'!B:CR,66,FALSE),0)</f>
        <v>1</v>
      </c>
      <c r="BQ28" s="288">
        <f>IFERROR(VLOOKUP(B28,'Previous Dashboard'!B:CR,67,FALSE),0)</f>
        <v>3</v>
      </c>
      <c r="BR28" s="99"/>
      <c r="BS28" s="403">
        <f>IFERROR(VLOOKUP(B28,'Staff Survey'!B:L,3,FALSE),"-")</f>
        <v>6.9</v>
      </c>
      <c r="BT28" s="401" t="s">
        <v>389</v>
      </c>
      <c r="BU28" s="136">
        <f>IFERROR(VLOOKUP(B28,'Staff Survey'!B:L,4,FALSE),"-")</f>
        <v>5.3</v>
      </c>
      <c r="BV28" s="399" t="s">
        <v>389</v>
      </c>
      <c r="BW28" s="403">
        <f>IFERROR(VLOOKUP(B28,'Staff Survey'!B:L,5,FALSE),"-")</f>
        <v>6.4</v>
      </c>
      <c r="BX28" s="402" t="s">
        <v>389</v>
      </c>
      <c r="BY28" s="403">
        <f>IFERROR(VLOOKUP(B28,'Staff Survey'!B:L,6,FALSE),"-")</f>
        <v>5.3</v>
      </c>
      <c r="BZ28" s="402" t="s">
        <v>389</v>
      </c>
      <c r="CA28" s="403">
        <f>IFERROR(VLOOKUP(B28,'Staff Survey'!B:L,7,FALSE),"-")</f>
        <v>5.0999999999999996</v>
      </c>
      <c r="CB28" s="428" t="s">
        <v>389</v>
      </c>
      <c r="CC28" s="403">
        <f>IFERROR(VLOOKUP(B28,'Staff Survey'!B:L,8,FALSE),"-")</f>
        <v>5.7</v>
      </c>
      <c r="CD28" s="428" t="s">
        <v>389</v>
      </c>
      <c r="CE28" s="403">
        <f>IFERROR(VLOOKUP(B28,'Staff Survey'!B:L,9,FALSE),"-")</f>
        <v>6.3</v>
      </c>
      <c r="CF28" s="428" t="s">
        <v>389</v>
      </c>
      <c r="CG28" s="140">
        <f>IFERROR(VLOOKUP(B28,'Staff Survey'!B:L,10,FALSE),"-")</f>
        <v>6.5</v>
      </c>
      <c r="CH28" s="417" t="s">
        <v>389</v>
      </c>
      <c r="CI28" s="412">
        <f>IFERROR(VLOOKUP(B28,'Staff Survey'!B:L,11,FALSE),"-")</f>
        <v>5.2</v>
      </c>
      <c r="CJ28" s="419" t="s">
        <v>389</v>
      </c>
      <c r="CL28" s="119" t="str">
        <f>IFERROR(VLOOKUP(B28,'LfE . HR Ops . F2SU'!A:B,2,FALSE),0)</f>
        <v>-</v>
      </c>
      <c r="CM28" s="119" t="str">
        <f>IFERROR(VLOOKUP(B28,'Previous Dashboard'!B:CR,89,FALSE),0)</f>
        <v>-</v>
      </c>
      <c r="CN28" s="124"/>
      <c r="CO28" s="125"/>
      <c r="CP28" s="126"/>
      <c r="CQ28" s="126"/>
    </row>
    <row r="29" spans="1:95" x14ac:dyDescent="0.25">
      <c r="A29" s="651"/>
      <c r="B29" s="543" t="s">
        <v>50</v>
      </c>
      <c r="C29" s="310">
        <f>IFERROR(VLOOKUP(B29,'Staff In Post'!A:C,3,FALSE),0)</f>
        <v>131</v>
      </c>
      <c r="D29" s="246">
        <f>IFERROR(VLOOKUP(B29,'Mandatory Training'!A:C,3,FALSE),0)</f>
        <v>0.7068965517241379</v>
      </c>
      <c r="E29" s="24">
        <f>IFERROR(VLOOKUP(B29,'Previous Dashboard'!B:CR,3,FALSE),0)</f>
        <v>0.64077669902912626</v>
      </c>
      <c r="F29" s="63">
        <f>IF(D29&gt;=Benchmark!C$4,1,0)</f>
        <v>0</v>
      </c>
      <c r="G29" s="17">
        <f>IFERROR(VLOOKUP(B29,Appraisals!A:C,3,FALSE),0)</f>
        <v>0.72307692307692306</v>
      </c>
      <c r="H29" s="24">
        <f>IFERROR(VLOOKUP(B29,'Previous Dashboard'!B:CR,6,FALSE),0)</f>
        <v>0.7142857142857143</v>
      </c>
      <c r="I29" s="63">
        <f>IF(G29&gt;=Benchmark!E$4,1,0)</f>
        <v>0</v>
      </c>
      <c r="J29" s="59">
        <f t="shared" si="0"/>
        <v>0.71498673740053054</v>
      </c>
      <c r="K29" s="91">
        <f t="shared" si="1"/>
        <v>0.67753120665742028</v>
      </c>
      <c r="L29" s="63">
        <f>IF(J29&gt;=Benchmark!G$4,1,0)</f>
        <v>0</v>
      </c>
      <c r="M29" s="51">
        <f>IFERROR(VLOOKUP(B29,Stress!A:D,4,FALSE),"-")</f>
        <v>2.24476100534962E-2</v>
      </c>
      <c r="N29" s="60">
        <f>IFERROR(VLOOKUP(B29,'Previous Dashboard'!B:CR,12,FALSE),0)</f>
        <v>1.2399870184143401E-2</v>
      </c>
      <c r="O29" s="52">
        <f>IFERROR(VLOOKUP(B29,'Musculo Skeletal'!A:D,4,FALSE),"-")</f>
        <v>1.74975672022545E-2</v>
      </c>
      <c r="P29" s="43">
        <f>IFERROR(VLOOKUP(B29,'Previous Dashboard'!B:CR,14,FALSE),0)</f>
        <v>5.1945935941855896E-3</v>
      </c>
      <c r="Q29" s="52">
        <f>IFERROR(VLOOKUP(B29,'All Sickness'!A:D,4,FALSE),"-")</f>
        <v>7.5089858572826296E-2</v>
      </c>
      <c r="R29" s="43">
        <f>IFERROR(VLOOKUP(B29,'Previous Dashboard'!B:CR,16,FALSE),0)</f>
        <v>6.49212110609141E-2</v>
      </c>
      <c r="S29" s="63">
        <f>IF(Q29&lt;=Benchmark!K$4,1,0)</f>
        <v>0</v>
      </c>
      <c r="T29" s="44">
        <f>IFERROR(VLOOKUP(B29,LT.ST!A:C,3,FALSE),"-")</f>
        <v>3.9726411317006695E-2</v>
      </c>
      <c r="U29" s="43">
        <f>IFERROR(VLOOKUP(B29,'Previous Dashboard'!B:CR,19,FALSE),0)</f>
        <v>2.8838204078252501E-2</v>
      </c>
      <c r="V29" s="42">
        <f>IFERROR(VLOOKUP(B29,Turnover!A:C,2,FALSE),0)</f>
        <v>9.1324200913242004E-3</v>
      </c>
      <c r="W29" s="60">
        <f>IFERROR(VLOOKUP(B29,'Previous Dashboard'!B:CR,21,FALSE),0)</f>
        <v>1.9704433497536901E-2</v>
      </c>
      <c r="X29" s="63">
        <f>IF(V29&lt;=Benchmark!N$4,1,0)</f>
        <v>1</v>
      </c>
      <c r="Y29" s="159">
        <f>IFERROR(VLOOKUP(B29,Leavers!A:I,6,FALSE),0)</f>
        <v>1</v>
      </c>
      <c r="Z29" s="247">
        <f t="shared" si="2"/>
        <v>1</v>
      </c>
      <c r="AA29" s="298">
        <f>IFERROR(VLOOKUP(B29,'Previous Dashboard'!B:CR,25,FALSE),0)</f>
        <v>1</v>
      </c>
      <c r="AB29" s="188">
        <f>IFERROR(VLOOKUP(VLOOKUP($B29,'Pulse Mapping'!$A:$C,3,FALSE),'Pulse Survey'!$A:$J,2,FALSE),0)</f>
        <v>14</v>
      </c>
      <c r="AC29" s="25">
        <f>IFERROR(VLOOKUP(B29,'Previous Dashboard'!B:CR,27,FALSE),0)</f>
        <v>9</v>
      </c>
      <c r="AD29" s="362">
        <f t="shared" si="3"/>
        <v>0.10687022900763359</v>
      </c>
      <c r="AE29" s="408">
        <f>IFERROR(VLOOKUP(B29,'Staff Engagement'!A:E,5,FALSE),0)</f>
        <v>6.6468253968253963</v>
      </c>
      <c r="AF29" s="409">
        <f>IFERROR(VLOOKUP(B29,'Previous Dashboard'!B:CQ,30,FALSE),0)</f>
        <v>7.6234567901234565</v>
      </c>
      <c r="AG29" s="112">
        <f>IFERROR(VLOOKUP(B29,'Staff Engagement'!A:E,2,FALSE),0)</f>
        <v>6.6071428571428568</v>
      </c>
      <c r="AH29" s="409">
        <f>IFERROR(VLOOKUP(B29,'Previous Dashboard'!B:CQ,32,FALSE),0)</f>
        <v>8.1481481481481488</v>
      </c>
      <c r="AI29" s="112">
        <f>IFERROR(VLOOKUP(B29,'Staff Engagement'!A:E,3,FALSE),0)</f>
        <v>6.3690476190476186</v>
      </c>
      <c r="AJ29" s="409">
        <f>IFERROR(VLOOKUP(B29,'Previous Dashboard'!B:CQ,34,FALSE),0)</f>
        <v>6.8518518518518521</v>
      </c>
      <c r="AK29" s="112">
        <f>IFERROR(VLOOKUP(B29,'Staff Engagement'!A:E,4,FALSE),0)</f>
        <v>6.9642857142857144</v>
      </c>
      <c r="AL29" s="271">
        <f>IFERROR(VLOOKUP(B29,'Previous Dashboard'!B:CQ,36,FALSE),0)</f>
        <v>7.8703703703703702</v>
      </c>
      <c r="AM29" s="386">
        <f>IFERROR(VLOOKUP(B29,'Patient Experience'!A:K,9,FALSE),0)</f>
        <v>1</v>
      </c>
      <c r="AN29" s="60">
        <f>IFERROR(VLOOKUP(VLOOKUP($B29,'Pulse Mapping'!$A:$C,3,FALSE),'Pulse Survey'!$A:$J,'Pulse Survey'!C$1,FALSE),0)</f>
        <v>0.5714285714285714</v>
      </c>
      <c r="AO29" s="63" cm="1">
        <f t="array" ref="AO29">_xlfn.IFS(AN29 = "-",0,AN29 &gt;=Benchmark!R$4,1,AN29&lt;Benchmark!R$4,0)</f>
        <v>0</v>
      </c>
      <c r="AP29" s="43">
        <f>IFERROR(VLOOKUP(B29,'Previous Dashboard'!B:CR,39,FALSE),0)</f>
        <v>0.88888888888888884</v>
      </c>
      <c r="AQ29" s="43">
        <f>IFERROR(VLOOKUP(VLOOKUP($B29,'Pulse Mapping'!$A:$C,3,FALSE),'Pulse Survey'!$A:$J,'Pulse Survey'!D$1,FALSE),0)</f>
        <v>0.5</v>
      </c>
      <c r="AR29" s="63" cm="1">
        <f t="array" ref="AR29">_xlfn.IFS(AQ29 = "-",0,AQ29 &gt;=Benchmark!T$4,1,AQ29&lt;Benchmark!T$4,0)</f>
        <v>0</v>
      </c>
      <c r="AS29" s="24">
        <f>IFERROR(VLOOKUP(B29,'Previous Dashboard'!B:CR,42,FALSE),0)</f>
        <v>0.88888888888888884</v>
      </c>
      <c r="AT29" s="43">
        <f>IFERROR(VLOOKUP(VLOOKUP($B29,'Pulse Mapping'!$A:$C,3,FALSE),'Pulse Survey'!$A:$J,'Pulse Survey'!E$1,FALSE),0)</f>
        <v>0.5</v>
      </c>
      <c r="AU29" s="63" cm="1">
        <f t="array" ref="AU29">_xlfn.IFS(AT29 = "-",0,AT29 &gt;=Benchmark!V$4,1,AT29&lt;Benchmark!V$4,0)</f>
        <v>0</v>
      </c>
      <c r="AV29" s="24">
        <f>IFERROR(VLOOKUP(B29,'Previous Dashboard'!B:CR,45,FALSE),0)</f>
        <v>0.55555555555555558</v>
      </c>
      <c r="AW29" s="43">
        <f>IFERROR(VLOOKUP(VLOOKUP($B29,'Pulse Mapping'!$A:$C,3,FALSE),'Pulse Survey'!$A:$J,'Pulse Survey'!F$1,FALSE),0)</f>
        <v>0.64285714285714279</v>
      </c>
      <c r="AX29" s="63" cm="1">
        <f t="array" ref="AX29">_xlfn.IFS(AW29 = "-",0,AW29 &gt;=Benchmark!X$4,1,AW29&lt;Benchmark!X$4,0)</f>
        <v>0</v>
      </c>
      <c r="AY29" s="24">
        <f>IFERROR(VLOOKUP(B29,'Previous Dashboard'!B:CR,48,FALSE),0)</f>
        <v>0.66666666666666663</v>
      </c>
      <c r="AZ29" s="43">
        <f>IFERROR(VLOOKUP(VLOOKUP($B29,'Pulse Mapping'!$A:$C,3,FALSE),'Pulse Survey'!$A:$J,'Pulse Survey'!G$1,FALSE),0)</f>
        <v>0.8571428571428571</v>
      </c>
      <c r="BA29" s="63" cm="1">
        <f t="array" ref="BA29">_xlfn.IFS(AZ29 = "-",0,AZ29 &gt;=Benchmark!Z$4,1,AZ29&lt;Benchmark!Z$4,0)</f>
        <v>1</v>
      </c>
      <c r="BB29" s="24">
        <f>IFERROR(VLOOKUP(B29,'Previous Dashboard'!B:CR,51,FALSE),0)</f>
        <v>0.77777777777777768</v>
      </c>
      <c r="BC29" s="43">
        <f>IFERROR(VLOOKUP(VLOOKUP($B29,'Pulse Mapping'!$A:$C,3,FALSE),'Pulse Survey'!$A:$J,'Pulse Survey'!H$1,FALSE),0)</f>
        <v>0.64285714285714279</v>
      </c>
      <c r="BD29" s="63" cm="1">
        <f t="array" ref="BD29">_xlfn.IFS(BC29 = "-",0,BC29 &gt;=Benchmark!AB$4,1,BC29&lt;Benchmark!AB$4,0)</f>
        <v>0</v>
      </c>
      <c r="BE29" s="24">
        <f>IFERROR(VLOOKUP(B29,'Previous Dashboard'!B:CR,54,FALSE),0)</f>
        <v>0.55555555555555558</v>
      </c>
      <c r="BF29" s="43">
        <f>IFERROR(VLOOKUP(VLOOKUP($B29,'Pulse Mapping'!$A:$C,3,FALSE),'Pulse Survey'!$A:$J,'Pulse Survey'!I$1,FALSE),0)</f>
        <v>0.64285714285714279</v>
      </c>
      <c r="BG29" s="63" cm="1">
        <f t="array" ref="BG29">_xlfn.IFS(BF29 = "-",0,BF29 &gt;=Benchmark!AD$4,1,BF29&lt;Benchmark!AD$4,0)</f>
        <v>0</v>
      </c>
      <c r="BH29" s="91">
        <f>IFERROR(VLOOKUP(B29,'Previous Dashboard'!B:CR,57,FALSE),0)</f>
        <v>0.77777777777777768</v>
      </c>
      <c r="BI29" s="44">
        <f>IFERROR(VLOOKUP(VLOOKUP($B29,'Pulse Mapping'!$A:$C,3,FALSE),'Pulse Survey'!$A:$J,'Pulse Survey'!J$1,FALSE),0)</f>
        <v>0.64285714285714279</v>
      </c>
      <c r="BJ29" s="63" cm="1">
        <f t="array" ref="BJ29">_xlfn.IFS(BI29 = "-",0,BI29 &gt;=Benchmark!AF$4,1,BI29&lt;Benchmark!AF$4,0)</f>
        <v>0</v>
      </c>
      <c r="BK29" s="145">
        <f>IFERROR(VLOOKUP(B29,'Previous Dashboard'!B:CR,60,FALSE),0)</f>
        <v>0.77777777777777779</v>
      </c>
      <c r="BL29" s="224">
        <f t="shared" si="4"/>
        <v>1</v>
      </c>
      <c r="BM29" s="325">
        <f>IFERROR(VLOOKUP(B29,'Previous Dashboard'!B:CR,63,FALSE),0)</f>
        <v>5</v>
      </c>
      <c r="BN29" s="285">
        <f t="shared" si="5"/>
        <v>2</v>
      </c>
      <c r="BO29" s="190">
        <f>IFERROR(VLOOKUP(B29,'Previous Dashboard'!B:CR,65,FALSE),0)</f>
        <v>6</v>
      </c>
      <c r="BP29" s="25">
        <f>IFERROR(VLOOKUP(B29,'Previous Dashboard'!B:CR,66,FALSE),0)</f>
        <v>1</v>
      </c>
      <c r="BQ29" s="288">
        <f>IFERROR(VLOOKUP(B29,'Previous Dashboard'!B:CR,67,FALSE),0)</f>
        <v>5</v>
      </c>
      <c r="BR29" s="99"/>
      <c r="BS29" s="403">
        <f>IFERROR(VLOOKUP(B29,'Staff Survey'!B:L,3,FALSE),"-")</f>
        <v>7.5</v>
      </c>
      <c r="BT29" s="401" t="s">
        <v>389</v>
      </c>
      <c r="BU29" s="136">
        <f>IFERROR(VLOOKUP(B29,'Staff Survey'!B:L,4,FALSE),"-")</f>
        <v>6.2</v>
      </c>
      <c r="BV29" s="399" t="s">
        <v>389</v>
      </c>
      <c r="BW29" s="403">
        <f>IFERROR(VLOOKUP(B29,'Staff Survey'!B:L,5,FALSE),"-")</f>
        <v>7</v>
      </c>
      <c r="BX29" s="402" t="s">
        <v>389</v>
      </c>
      <c r="BY29" s="403">
        <f>IFERROR(VLOOKUP(B29,'Staff Survey'!B:L,6,FALSE),"-")</f>
        <v>6.4</v>
      </c>
      <c r="BZ29" s="402" t="s">
        <v>389</v>
      </c>
      <c r="CA29" s="403">
        <f>IFERROR(VLOOKUP(B29,'Staff Survey'!B:L,7,FALSE),"-")</f>
        <v>5.6</v>
      </c>
      <c r="CB29" s="428" t="s">
        <v>389</v>
      </c>
      <c r="CC29" s="403">
        <f>IFERROR(VLOOKUP(B29,'Staff Survey'!B:L,8,FALSE),"-")</f>
        <v>6.5</v>
      </c>
      <c r="CD29" s="428" t="s">
        <v>389</v>
      </c>
      <c r="CE29" s="403">
        <f>IFERROR(VLOOKUP(B29,'Staff Survey'!B:L,9,FALSE),"-")</f>
        <v>6.8</v>
      </c>
      <c r="CF29" s="428" t="s">
        <v>389</v>
      </c>
      <c r="CG29" s="140">
        <f>IFERROR(VLOOKUP(B29,'Staff Survey'!B:L,10,FALSE),"-")</f>
        <v>7.1</v>
      </c>
      <c r="CH29" s="277">
        <v>7.3</v>
      </c>
      <c r="CI29" s="412">
        <f>IFERROR(VLOOKUP(B29,'Staff Survey'!B:L,11,FALSE),"-")</f>
        <v>6.2</v>
      </c>
      <c r="CJ29" s="111">
        <v>6.6</v>
      </c>
      <c r="CL29" s="119">
        <f>IFERROR(VLOOKUP(B29,'LfE . HR Ops . F2SU'!A:B,2,FALSE),0)</f>
        <v>4</v>
      </c>
      <c r="CM29" s="119">
        <f>IFERROR(VLOOKUP(B29,'Previous Dashboard'!B:CR,89,FALSE),0)</f>
        <v>4</v>
      </c>
      <c r="CN29" s="124"/>
      <c r="CO29" s="125"/>
      <c r="CP29" s="126"/>
      <c r="CQ29" s="126"/>
    </row>
    <row r="30" spans="1:95" x14ac:dyDescent="0.25">
      <c r="A30" s="651"/>
      <c r="B30" s="543" t="s">
        <v>52</v>
      </c>
      <c r="C30" s="310">
        <f>IFERROR(VLOOKUP(B30,'Staff In Post'!A:C,3,FALSE),0)</f>
        <v>112</v>
      </c>
      <c r="D30" s="246">
        <f>IFERROR(VLOOKUP(B30,'Mandatory Training'!A:C,3,FALSE),0)</f>
        <v>0.84693877551020413</v>
      </c>
      <c r="E30" s="24">
        <f>IFERROR(VLOOKUP(B30,'Previous Dashboard'!B:CR,3,FALSE),0)</f>
        <v>0.74736842105263157</v>
      </c>
      <c r="F30" s="63">
        <f>IF(D30&gt;=Benchmark!C$4,1,0)</f>
        <v>0</v>
      </c>
      <c r="G30" s="17">
        <f>IFERROR(VLOOKUP(B30,Appraisals!A:C,3,FALSE),0)</f>
        <v>1</v>
      </c>
      <c r="H30" s="24">
        <f>IFERROR(VLOOKUP(B30,'Previous Dashboard'!B:CR,6,FALSE),0)</f>
        <v>0.9375</v>
      </c>
      <c r="I30" s="63">
        <f>IF(G30&gt;=Benchmark!E$4,1,0)</f>
        <v>1</v>
      </c>
      <c r="J30" s="59">
        <f t="shared" si="0"/>
        <v>0.92346938775510212</v>
      </c>
      <c r="K30" s="91">
        <f t="shared" si="1"/>
        <v>0.84243421052631584</v>
      </c>
      <c r="L30" s="63">
        <f>IF(J30&gt;=Benchmark!G$4,1,0)</f>
        <v>1</v>
      </c>
      <c r="M30" s="51">
        <f>IFERROR(VLOOKUP(B30,Stress!A:D,4,FALSE),"-")</f>
        <v>2.0308439407322701E-2</v>
      </c>
      <c r="N30" s="60">
        <f>IFERROR(VLOOKUP(B30,'Previous Dashboard'!B:CR,12,FALSE),0)</f>
        <v>6.54693922657362E-3</v>
      </c>
      <c r="O30" s="52">
        <f>IFERROR(VLOOKUP(B30,'Musculo Skeletal'!A:D,4,FALSE),"-")</f>
        <v>3.9828349901772E-3</v>
      </c>
      <c r="P30" s="43">
        <f>IFERROR(VLOOKUP(B30,'Previous Dashboard'!B:CR,14,FALSE),0)</f>
        <v>7.4434578196241304E-3</v>
      </c>
      <c r="Q30" s="52">
        <f>IFERROR(VLOOKUP(B30,'All Sickness'!A:D,4,FALSE),"-")</f>
        <v>6.6502387918977196E-2</v>
      </c>
      <c r="R30" s="43">
        <f>IFERROR(VLOOKUP(B30,'Previous Dashboard'!B:CR,16,FALSE),0)</f>
        <v>5.1278818308395299E-2</v>
      </c>
      <c r="S30" s="63">
        <f>IF(Q30&lt;=Benchmark!K$4,1,0)</f>
        <v>0</v>
      </c>
      <c r="T30" s="44">
        <f>IFERROR(VLOOKUP(B30,LT.ST!A:C,3,FALSE),"-")</f>
        <v>3.4677216647809497E-2</v>
      </c>
      <c r="U30" s="43">
        <f>IFERROR(VLOOKUP(B30,'Previous Dashboard'!B:CR,19,FALSE),0)</f>
        <v>9.9692711730832387E-3</v>
      </c>
      <c r="V30" s="42">
        <f>IFERROR(VLOOKUP(B30,Turnover!A:C,2,FALSE),0)</f>
        <v>1.02040816326531E-2</v>
      </c>
      <c r="W30" s="60">
        <f>IFERROR(VLOOKUP(B30,'Previous Dashboard'!B:CR,21,FALSE),0)</f>
        <v>1.06951871657754E-2</v>
      </c>
      <c r="X30" s="63">
        <f>IF(V30&lt;=Benchmark!N$4,1,0)</f>
        <v>1</v>
      </c>
      <c r="Y30" s="159">
        <f>IFERROR(VLOOKUP(B30,Leavers!A:I,6,FALSE),0)</f>
        <v>1</v>
      </c>
      <c r="Z30" s="247">
        <f t="shared" si="2"/>
        <v>2</v>
      </c>
      <c r="AA30" s="298">
        <f>IFERROR(VLOOKUP(B30,'Previous Dashboard'!B:CR,25,FALSE),0)</f>
        <v>1</v>
      </c>
      <c r="AB30" s="188">
        <f>IFERROR(VLOOKUP(VLOOKUP($B30,'Pulse Mapping'!$A:$C,3,FALSE),'Pulse Survey'!$A:$J,2,FALSE),0)</f>
        <v>25</v>
      </c>
      <c r="AC30" s="25">
        <f>IFERROR(VLOOKUP(B30,'Previous Dashboard'!B:CR,27,FALSE),0)</f>
        <v>13</v>
      </c>
      <c r="AD30" s="362">
        <f t="shared" si="3"/>
        <v>0.22321428571428573</v>
      </c>
      <c r="AE30" s="408">
        <f>IFERROR(VLOOKUP(B30,'Staff Engagement'!A:E,5,FALSE),0)</f>
        <v>6.4333333333333336</v>
      </c>
      <c r="AF30" s="409">
        <f>IFERROR(VLOOKUP(B30,'Previous Dashboard'!B:CQ,30,FALSE),0)</f>
        <v>6.0042735042735051</v>
      </c>
      <c r="AG30" s="112">
        <f>IFERROR(VLOOKUP(B30,'Staff Engagement'!A:E,2,FALSE),0)</f>
        <v>6.833333333333333</v>
      </c>
      <c r="AH30" s="409">
        <f>IFERROR(VLOOKUP(B30,'Previous Dashboard'!B:CQ,32,FALSE),0)</f>
        <v>6.4743589743589745</v>
      </c>
      <c r="AI30" s="112">
        <f>IFERROR(VLOOKUP(B30,'Staff Engagement'!A:E,3,FALSE),0)</f>
        <v>5.7666666666666666</v>
      </c>
      <c r="AJ30" s="409">
        <f>IFERROR(VLOOKUP(B30,'Previous Dashboard'!B:CQ,34,FALSE),0)</f>
        <v>5.384615384615385</v>
      </c>
      <c r="AK30" s="112">
        <f>IFERROR(VLOOKUP(B30,'Staff Engagement'!A:E,4,FALSE),0)</f>
        <v>6.7</v>
      </c>
      <c r="AL30" s="271">
        <f>IFERROR(VLOOKUP(B30,'Previous Dashboard'!B:CQ,36,FALSE),0)</f>
        <v>6.1538461538461542</v>
      </c>
      <c r="AM30" s="386">
        <f>IFERROR(VLOOKUP(B30,'Patient Experience'!A:K,9,FALSE),0)</f>
        <v>0.94285714285714284</v>
      </c>
      <c r="AN30" s="60">
        <f>IFERROR(VLOOKUP(VLOOKUP($B30,'Pulse Mapping'!$A:$C,3,FALSE),'Pulse Survey'!$A:$J,'Pulse Survey'!C$1,FALSE),0)</f>
        <v>0.64</v>
      </c>
      <c r="AO30" s="63" cm="1">
        <f t="array" ref="AO30">_xlfn.IFS(AN30 = "-",0,AN30 &gt;=Benchmark!R$4,1,AN30&lt;Benchmark!R$4,0)</f>
        <v>0</v>
      </c>
      <c r="AP30" s="43">
        <f>IFERROR(VLOOKUP(B30,'Previous Dashboard'!B:CR,39,FALSE),0)</f>
        <v>0.61538461538461542</v>
      </c>
      <c r="AQ30" s="43">
        <f>IFERROR(VLOOKUP(VLOOKUP($B30,'Pulse Mapping'!$A:$C,3,FALSE),'Pulse Survey'!$A:$J,'Pulse Survey'!D$1,FALSE),0)</f>
        <v>0.8</v>
      </c>
      <c r="AR30" s="63" cm="1">
        <f t="array" ref="AR30">_xlfn.IFS(AQ30 = "-",0,AQ30 &gt;=Benchmark!T$4,1,AQ30&lt;Benchmark!T$4,0)</f>
        <v>1</v>
      </c>
      <c r="AS30" s="24">
        <f>IFERROR(VLOOKUP(B30,'Previous Dashboard'!B:CR,42,FALSE),0)</f>
        <v>0.76923076923076927</v>
      </c>
      <c r="AT30" s="43">
        <f>IFERROR(VLOOKUP(VLOOKUP($B30,'Pulse Mapping'!$A:$C,3,FALSE),'Pulse Survey'!$A:$J,'Pulse Survey'!E$1,FALSE),0)</f>
        <v>0.48</v>
      </c>
      <c r="AU30" s="63" cm="1">
        <f t="array" ref="AU30">_xlfn.IFS(AT30 = "-",0,AT30 &gt;=Benchmark!V$4,1,AT30&lt;Benchmark!V$4,0)</f>
        <v>0</v>
      </c>
      <c r="AV30" s="24">
        <f>IFERROR(VLOOKUP(B30,'Previous Dashboard'!B:CR,45,FALSE),0)</f>
        <v>0.38461538461538464</v>
      </c>
      <c r="AW30" s="43">
        <f>IFERROR(VLOOKUP(VLOOKUP($B30,'Pulse Mapping'!$A:$C,3,FALSE),'Pulse Survey'!$A:$J,'Pulse Survey'!F$1,FALSE),0)</f>
        <v>0.52</v>
      </c>
      <c r="AX30" s="63" cm="1">
        <f t="array" ref="AX30">_xlfn.IFS(AW30 = "-",0,AW30 &gt;=Benchmark!X$4,1,AW30&lt;Benchmark!X$4,0)</f>
        <v>0</v>
      </c>
      <c r="AY30" s="24">
        <f>IFERROR(VLOOKUP(B30,'Previous Dashboard'!B:CR,48,FALSE),0)</f>
        <v>0.53846153846153855</v>
      </c>
      <c r="AZ30" s="43">
        <f>IFERROR(VLOOKUP(VLOOKUP($B30,'Pulse Mapping'!$A:$C,3,FALSE),'Pulse Survey'!$A:$J,'Pulse Survey'!G$1,FALSE),0)</f>
        <v>0.56000000000000005</v>
      </c>
      <c r="BA30" s="63" cm="1">
        <f t="array" ref="BA30">_xlfn.IFS(AZ30 = "-",0,AZ30 &gt;=Benchmark!Z$4,1,AZ30&lt;Benchmark!Z$4,0)</f>
        <v>0</v>
      </c>
      <c r="BB30" s="24">
        <f>IFERROR(VLOOKUP(B30,'Previous Dashboard'!B:CR,51,FALSE),0)</f>
        <v>0.53846153846153855</v>
      </c>
      <c r="BC30" s="43">
        <f>IFERROR(VLOOKUP(VLOOKUP($B30,'Pulse Mapping'!$A:$C,3,FALSE),'Pulse Survey'!$A:$J,'Pulse Survey'!H$1,FALSE),0)</f>
        <v>0.52</v>
      </c>
      <c r="BD30" s="63" cm="1">
        <f t="array" ref="BD30">_xlfn.IFS(BC30 = "-",0,BC30 &gt;=Benchmark!AB$4,1,BC30&lt;Benchmark!AB$4,0)</f>
        <v>0</v>
      </c>
      <c r="BE30" s="24">
        <f>IFERROR(VLOOKUP(B30,'Previous Dashboard'!B:CR,54,FALSE),0)</f>
        <v>0.61538461538461542</v>
      </c>
      <c r="BF30" s="43">
        <f>IFERROR(VLOOKUP(VLOOKUP($B30,'Pulse Mapping'!$A:$C,3,FALSE),'Pulse Survey'!$A:$J,'Pulse Survey'!I$1,FALSE),0)</f>
        <v>0.6</v>
      </c>
      <c r="BG30" s="63" cm="1">
        <f t="array" ref="BG30">_xlfn.IFS(BF30 = "-",0,BF30 &gt;=Benchmark!AD$4,1,BF30&lt;Benchmark!AD$4,0)</f>
        <v>0</v>
      </c>
      <c r="BH30" s="91">
        <f>IFERROR(VLOOKUP(B30,'Previous Dashboard'!B:CR,57,FALSE),0)</f>
        <v>0.53846153846153855</v>
      </c>
      <c r="BI30" s="44">
        <f>IFERROR(VLOOKUP(VLOOKUP($B30,'Pulse Mapping'!$A:$C,3,FALSE),'Pulse Survey'!$A:$J,'Pulse Survey'!J$1,FALSE),0)</f>
        <v>0.44000000000000006</v>
      </c>
      <c r="BJ30" s="63" cm="1">
        <f t="array" ref="BJ30">_xlfn.IFS(BI30 = "-",0,BI30 &gt;=Benchmark!AF$4,1,BI30&lt;Benchmark!AF$4,0)</f>
        <v>0</v>
      </c>
      <c r="BK30" s="145">
        <f>IFERROR(VLOOKUP(B30,'Previous Dashboard'!B:CR,60,FALSE),0)</f>
        <v>0.46153846153846156</v>
      </c>
      <c r="BL30" s="224">
        <f t="shared" si="4"/>
        <v>1</v>
      </c>
      <c r="BM30" s="325">
        <f>IFERROR(VLOOKUP(B30,'Previous Dashboard'!B:CR,63,FALSE),0)</f>
        <v>1</v>
      </c>
      <c r="BN30" s="285">
        <f t="shared" si="5"/>
        <v>3</v>
      </c>
      <c r="BO30" s="190">
        <f>IFERROR(VLOOKUP(B30,'Previous Dashboard'!B:CR,65,FALSE),0)</f>
        <v>2</v>
      </c>
      <c r="BP30" s="25">
        <f>IFERROR(VLOOKUP(B30,'Previous Dashboard'!B:CR,66,FALSE),0)</f>
        <v>2</v>
      </c>
      <c r="BQ30" s="288">
        <f>IFERROR(VLOOKUP(B30,'Previous Dashboard'!B:CR,67,FALSE),0)</f>
        <v>10</v>
      </c>
      <c r="BR30" s="99"/>
      <c r="BS30" s="403">
        <f>IFERROR(VLOOKUP(B30,'Staff Survey'!B:L,3,FALSE),"-")</f>
        <v>7.2</v>
      </c>
      <c r="BT30" s="401" t="s">
        <v>389</v>
      </c>
      <c r="BU30" s="136">
        <f>IFERROR(VLOOKUP(B30,'Staff Survey'!B:L,4,FALSE),"-")</f>
        <v>5.7</v>
      </c>
      <c r="BV30" s="399" t="s">
        <v>389</v>
      </c>
      <c r="BW30" s="403">
        <f>IFERROR(VLOOKUP(B30,'Staff Survey'!B:L,5,FALSE),"-")</f>
        <v>6.7</v>
      </c>
      <c r="BX30" s="402" t="s">
        <v>389</v>
      </c>
      <c r="BY30" s="403">
        <f>IFERROR(VLOOKUP(B30,'Staff Survey'!B:L,6,FALSE),"-")</f>
        <v>5.9</v>
      </c>
      <c r="BZ30" s="402" t="s">
        <v>389</v>
      </c>
      <c r="CA30" s="403">
        <f>IFERROR(VLOOKUP(B30,'Staff Survey'!B:L,7,FALSE),"-")</f>
        <v>5.2</v>
      </c>
      <c r="CB30" s="428" t="s">
        <v>389</v>
      </c>
      <c r="CC30" s="403">
        <f>IFERROR(VLOOKUP(B30,'Staff Survey'!B:L,8,FALSE),"-")</f>
        <v>5.4</v>
      </c>
      <c r="CD30" s="428" t="s">
        <v>389</v>
      </c>
      <c r="CE30" s="403">
        <f>IFERROR(VLOOKUP(B30,'Staff Survey'!B:L,9,FALSE),"-")</f>
        <v>6.3</v>
      </c>
      <c r="CF30" s="428" t="s">
        <v>389</v>
      </c>
      <c r="CG30" s="140">
        <f>IFERROR(VLOOKUP(B30,'Staff Survey'!B:L,10,FALSE),"-")</f>
        <v>6.9</v>
      </c>
      <c r="CH30" s="277">
        <v>6.8</v>
      </c>
      <c r="CI30" s="412">
        <f>IFERROR(VLOOKUP(B30,'Staff Survey'!B:L,11,FALSE),"-")</f>
        <v>5.9</v>
      </c>
      <c r="CJ30" s="111">
        <v>5.8</v>
      </c>
      <c r="CL30" s="119">
        <f>IFERROR(VLOOKUP(B30,'LfE . HR Ops . F2SU'!A:B,2,FALSE),0)</f>
        <v>12</v>
      </c>
      <c r="CM30" s="119">
        <f>IFERROR(VLOOKUP(B30,'Previous Dashboard'!B:CR,89,FALSE),0)</f>
        <v>7</v>
      </c>
      <c r="CN30" s="124"/>
      <c r="CO30" s="125"/>
      <c r="CP30" s="126"/>
      <c r="CQ30" s="126"/>
    </row>
    <row r="31" spans="1:95" x14ac:dyDescent="0.25">
      <c r="A31" s="651"/>
      <c r="B31" s="543" t="s">
        <v>53</v>
      </c>
      <c r="C31" s="310">
        <f>IFERROR(VLOOKUP(B31,'Staff In Post'!A:C,3,FALSE),0)</f>
        <v>20</v>
      </c>
      <c r="D31" s="246">
        <f>IFERROR(VLOOKUP(B31,'Mandatory Training'!A:C,3,FALSE),0)</f>
        <v>0.65</v>
      </c>
      <c r="E31" s="24">
        <f>IFERROR(VLOOKUP(B31,'Previous Dashboard'!B:CR,3,FALSE),0)</f>
        <v>0.63636363636363635</v>
      </c>
      <c r="F31" s="63">
        <f>IF(D31&gt;=Benchmark!C$4,1,0)</f>
        <v>0</v>
      </c>
      <c r="G31" s="17">
        <f>IFERROR(VLOOKUP(B31,Appraisals!A:C,3,FALSE),0)</f>
        <v>1</v>
      </c>
      <c r="H31" s="24">
        <f>IFERROR(VLOOKUP(B31,'Previous Dashboard'!B:CR,6,FALSE),0)</f>
        <v>0.875</v>
      </c>
      <c r="I31" s="63">
        <f>IF(G31&gt;=Benchmark!E$4,1,0)</f>
        <v>1</v>
      </c>
      <c r="J31" s="59">
        <f t="shared" si="0"/>
        <v>0.82499999999999996</v>
      </c>
      <c r="K31" s="91">
        <f t="shared" si="1"/>
        <v>0.75568181818181812</v>
      </c>
      <c r="L31" s="63">
        <f>IF(J31&gt;=Benchmark!G$4,1,0)</f>
        <v>0</v>
      </c>
      <c r="M31" s="51">
        <f>IFERROR(VLOOKUP(B31,Stress!A:D,4,FALSE),"-")</f>
        <v>0</v>
      </c>
      <c r="N31" s="60">
        <f>IFERROR(VLOOKUP(B31,'Previous Dashboard'!B:CR,12,FALSE),0)</f>
        <v>7.4825153503623202E-3</v>
      </c>
      <c r="O31" s="52">
        <f>IFERROR(VLOOKUP(B31,'Musculo Skeletal'!A:D,4,FALSE),"-")</f>
        <v>7.9818018343002402E-3</v>
      </c>
      <c r="P31" s="43">
        <f>IFERROR(VLOOKUP(B31,'Previous Dashboard'!B:CR,14,FALSE),0)</f>
        <v>5.1278091053059598E-3</v>
      </c>
      <c r="Q31" s="52">
        <f>IFERROR(VLOOKUP(B31,'All Sickness'!A:D,4,FALSE),"-")</f>
        <v>2.2116010814730899E-2</v>
      </c>
      <c r="R31" s="43">
        <f>IFERROR(VLOOKUP(B31,'Previous Dashboard'!B:CR,16,FALSE),0)</f>
        <v>3.4967484038918299E-2</v>
      </c>
      <c r="S31" s="63">
        <f>IF(Q31&lt;=Benchmark!K$4,1,0)</f>
        <v>1</v>
      </c>
      <c r="T31" s="44">
        <f>IFERROR(VLOOKUP(B31,LT.ST!A:C,3,FALSE),"-")</f>
        <v>7.3346316860846807E-3</v>
      </c>
      <c r="U31" s="43">
        <f>IFERROR(VLOOKUP(B31,'Previous Dashboard'!B:CR,19,FALSE),0)</f>
        <v>0</v>
      </c>
      <c r="V31" s="42">
        <f>IFERROR(VLOOKUP(B31,Turnover!A:C,2,FALSE),0)</f>
        <v>0.13636363636363599</v>
      </c>
      <c r="W31" s="60">
        <f>IFERROR(VLOOKUP(B31,'Previous Dashboard'!B:CR,21,FALSE),0)</f>
        <v>4.2553191489361701E-2</v>
      </c>
      <c r="X31" s="63">
        <f>IF(V31&lt;=Benchmark!N$4,1,0)</f>
        <v>0</v>
      </c>
      <c r="Y31" s="159">
        <f>IFERROR(VLOOKUP(B31,Leavers!A:I,6,FALSE),0)</f>
        <v>3</v>
      </c>
      <c r="Z31" s="247">
        <f t="shared" si="2"/>
        <v>1</v>
      </c>
      <c r="AA31" s="298">
        <f>IFERROR(VLOOKUP(B31,'Previous Dashboard'!B:CR,25,FALSE),0)</f>
        <v>2</v>
      </c>
      <c r="AB31" s="188">
        <f>IFERROR(VLOOKUP(VLOOKUP($B31,'Pulse Mapping'!$A:$C,3,FALSE),'Pulse Survey'!$A:$J,2,FALSE),0)</f>
        <v>2</v>
      </c>
      <c r="AC31" s="25">
        <f>IFERROR(VLOOKUP(B31,'Previous Dashboard'!B:CR,27,FALSE),0)</f>
        <v>1</v>
      </c>
      <c r="AD31" s="362">
        <f t="shared" si="3"/>
        <v>0.1</v>
      </c>
      <c r="AE31" s="408">
        <f>IFERROR(VLOOKUP(B31,'Staff Engagement'!A:E,5,FALSE),0)</f>
        <v>8.6111111111111125</v>
      </c>
      <c r="AF31" s="409">
        <f>IFERROR(VLOOKUP(B31,'Previous Dashboard'!B:CQ,30,FALSE),0)</f>
        <v>8.3333333333333339</v>
      </c>
      <c r="AG31" s="112">
        <f>IFERROR(VLOOKUP(B31,'Staff Engagement'!A:E,2,FALSE),0)</f>
        <v>8.3333333333333339</v>
      </c>
      <c r="AH31" s="409">
        <f>IFERROR(VLOOKUP(B31,'Previous Dashboard'!B:CQ,32,FALSE),0)</f>
        <v>8.3333333333333339</v>
      </c>
      <c r="AI31" s="112">
        <f>IFERROR(VLOOKUP(B31,'Staff Engagement'!A:E,3,FALSE),0)</f>
        <v>8.75</v>
      </c>
      <c r="AJ31" s="409">
        <f>IFERROR(VLOOKUP(B31,'Previous Dashboard'!B:CQ,34,FALSE),0)</f>
        <v>7.5</v>
      </c>
      <c r="AK31" s="112">
        <f>IFERROR(VLOOKUP(B31,'Staff Engagement'!A:E,4,FALSE),0)</f>
        <v>8.75</v>
      </c>
      <c r="AL31" s="271">
        <f>IFERROR(VLOOKUP(B31,'Previous Dashboard'!B:CQ,36,FALSE),0)</f>
        <v>9.1666666666666661</v>
      </c>
      <c r="AM31" s="386">
        <f>IFERROR(VLOOKUP(B31,'Patient Experience'!A:K,9,FALSE),0)</f>
        <v>1</v>
      </c>
      <c r="AN31" s="60" t="str">
        <f>IFERROR(VLOOKUP(VLOOKUP($B31,'Pulse Mapping'!$A:$C,3,FALSE),'Pulse Survey'!$A:$J,'Pulse Survey'!C$1,FALSE),0)</f>
        <v>-</v>
      </c>
      <c r="AO31" s="63" cm="1">
        <f t="array" ref="AO31">_xlfn.IFS(AN31 = "-",0,AN31 &gt;=Benchmark!R$4,1,AN31&lt;Benchmark!R$4,0)</f>
        <v>0</v>
      </c>
      <c r="AP31" s="43" t="str">
        <f>IFERROR(VLOOKUP(B31,'Previous Dashboard'!B:CR,39,FALSE),0)</f>
        <v>-</v>
      </c>
      <c r="AQ31" s="43" t="str">
        <f>IFERROR(VLOOKUP(VLOOKUP($B31,'Pulse Mapping'!$A:$C,3,FALSE),'Pulse Survey'!$A:$J,'Pulse Survey'!D$1,FALSE),0)</f>
        <v>-</v>
      </c>
      <c r="AR31" s="63" cm="1">
        <f t="array" ref="AR31">_xlfn.IFS(AQ31 = "-",0,AQ31 &gt;=Benchmark!T$4,1,AQ31&lt;Benchmark!T$4,0)</f>
        <v>0</v>
      </c>
      <c r="AS31" s="24" t="str">
        <f>IFERROR(VLOOKUP(B31,'Previous Dashboard'!B:CR,42,FALSE),0)</f>
        <v>-</v>
      </c>
      <c r="AT31" s="43" t="str">
        <f>IFERROR(VLOOKUP(VLOOKUP($B31,'Pulse Mapping'!$A:$C,3,FALSE),'Pulse Survey'!$A:$J,'Pulse Survey'!E$1,FALSE),0)</f>
        <v>-</v>
      </c>
      <c r="AU31" s="63" cm="1">
        <f t="array" ref="AU31">_xlfn.IFS(AT31 = "-",0,AT31 &gt;=Benchmark!V$4,1,AT31&lt;Benchmark!V$4,0)</f>
        <v>0</v>
      </c>
      <c r="AV31" s="24" t="str">
        <f>IFERROR(VLOOKUP(B31,'Previous Dashboard'!B:CR,45,FALSE),0)</f>
        <v>-</v>
      </c>
      <c r="AW31" s="43" t="str">
        <f>IFERROR(VLOOKUP(VLOOKUP($B31,'Pulse Mapping'!$A:$C,3,FALSE),'Pulse Survey'!$A:$J,'Pulse Survey'!F$1,FALSE),0)</f>
        <v>-</v>
      </c>
      <c r="AX31" s="63" cm="1">
        <f t="array" ref="AX31">_xlfn.IFS(AW31 = "-",0,AW31 &gt;=Benchmark!X$4,1,AW31&lt;Benchmark!X$4,0)</f>
        <v>0</v>
      </c>
      <c r="AY31" s="24" t="str">
        <f>IFERROR(VLOOKUP(B31,'Previous Dashboard'!B:CR,48,FALSE),0)</f>
        <v>-</v>
      </c>
      <c r="AZ31" s="43" t="str">
        <f>IFERROR(VLOOKUP(VLOOKUP($B31,'Pulse Mapping'!$A:$C,3,FALSE),'Pulse Survey'!$A:$J,'Pulse Survey'!G$1,FALSE),0)</f>
        <v>-</v>
      </c>
      <c r="BA31" s="63" cm="1">
        <f t="array" ref="BA31">_xlfn.IFS(AZ31 = "-",0,AZ31 &gt;=Benchmark!Z$4,1,AZ31&lt;Benchmark!Z$4,0)</f>
        <v>0</v>
      </c>
      <c r="BB31" s="24" t="str">
        <f>IFERROR(VLOOKUP(B31,'Previous Dashboard'!B:CR,51,FALSE),0)</f>
        <v>-</v>
      </c>
      <c r="BC31" s="43" t="str">
        <f>IFERROR(VLOOKUP(VLOOKUP($B31,'Pulse Mapping'!$A:$C,3,FALSE),'Pulse Survey'!$A:$J,'Pulse Survey'!H$1,FALSE),0)</f>
        <v>-</v>
      </c>
      <c r="BD31" s="63" cm="1">
        <f t="array" ref="BD31">_xlfn.IFS(BC31 = "-",0,BC31 &gt;=Benchmark!AB$4,1,BC31&lt;Benchmark!AB$4,0)</f>
        <v>0</v>
      </c>
      <c r="BE31" s="24" t="str">
        <f>IFERROR(VLOOKUP(B31,'Previous Dashboard'!B:CR,54,FALSE),0)</f>
        <v>-</v>
      </c>
      <c r="BF31" s="43" t="str">
        <f>IFERROR(VLOOKUP(VLOOKUP($B31,'Pulse Mapping'!$A:$C,3,FALSE),'Pulse Survey'!$A:$J,'Pulse Survey'!I$1,FALSE),0)</f>
        <v>-</v>
      </c>
      <c r="BG31" s="63" cm="1">
        <f t="array" ref="BG31">_xlfn.IFS(BF31 = "-",0,BF31 &gt;=Benchmark!AD$4,1,BF31&lt;Benchmark!AD$4,0)</f>
        <v>0</v>
      </c>
      <c r="BH31" s="91" t="str">
        <f>IFERROR(VLOOKUP(B31,'Previous Dashboard'!B:CR,57,FALSE),0)</f>
        <v>-</v>
      </c>
      <c r="BI31" s="44" t="str">
        <f>IFERROR(VLOOKUP(VLOOKUP($B31,'Pulse Mapping'!$A:$C,3,FALSE),'Pulse Survey'!$A:$J,'Pulse Survey'!J$1,FALSE),0)</f>
        <v>-</v>
      </c>
      <c r="BJ31" s="63" cm="1">
        <f t="array" ref="BJ31">_xlfn.IFS(BI31 = "-",0,BI31 &gt;=Benchmark!AF$4,1,BI31&lt;Benchmark!AF$4,0)</f>
        <v>0</v>
      </c>
      <c r="BK31" s="145" t="str">
        <f>IFERROR(VLOOKUP(B31,'Previous Dashboard'!B:CR,60,FALSE),0)</f>
        <v>-</v>
      </c>
      <c r="BL31" s="224">
        <f t="shared" si="4"/>
        <v>0</v>
      </c>
      <c r="BM31" s="325">
        <f>IFERROR(VLOOKUP(B31,'Previous Dashboard'!B:CR,63,FALSE),0)</f>
        <v>0</v>
      </c>
      <c r="BN31" s="285">
        <f t="shared" si="5"/>
        <v>1</v>
      </c>
      <c r="BO31" s="190">
        <f>IFERROR(VLOOKUP(B31,'Previous Dashboard'!B:CR,65,FALSE),0)</f>
        <v>2</v>
      </c>
      <c r="BP31" s="25">
        <f>IFERROR(VLOOKUP(B31,'Previous Dashboard'!B:CR,66,FALSE),0)</f>
        <v>2</v>
      </c>
      <c r="BQ31" s="288">
        <f>IFERROR(VLOOKUP(B31,'Previous Dashboard'!B:CR,67,FALSE),0)</f>
        <v>2</v>
      </c>
      <c r="BR31" s="99"/>
      <c r="BS31" s="403">
        <f>IFERROR(VLOOKUP(B31,'Staff Survey'!B:L,3,FALSE),"-")</f>
        <v>7.5</v>
      </c>
      <c r="BT31" s="401" t="s">
        <v>389</v>
      </c>
      <c r="BU31" s="136">
        <f>IFERROR(VLOOKUP(B31,'Staff Survey'!B:L,4,FALSE),"-")</f>
        <v>6.2</v>
      </c>
      <c r="BV31" s="399" t="s">
        <v>389</v>
      </c>
      <c r="BW31" s="403">
        <f>IFERROR(VLOOKUP(B31,'Staff Survey'!B:L,5,FALSE),"-")</f>
        <v>7</v>
      </c>
      <c r="BX31" s="402" t="s">
        <v>389</v>
      </c>
      <c r="BY31" s="403">
        <f>IFERROR(VLOOKUP(B31,'Staff Survey'!B:L,6,FALSE),"-")</f>
        <v>6.4</v>
      </c>
      <c r="BZ31" s="402" t="s">
        <v>389</v>
      </c>
      <c r="CA31" s="403">
        <f>IFERROR(VLOOKUP(B31,'Staff Survey'!B:L,7,FALSE),"-")</f>
        <v>5.6</v>
      </c>
      <c r="CB31" s="428" t="s">
        <v>389</v>
      </c>
      <c r="CC31" s="403">
        <f>IFERROR(VLOOKUP(B31,'Staff Survey'!B:L,8,FALSE),"-")</f>
        <v>6.5</v>
      </c>
      <c r="CD31" s="428" t="s">
        <v>389</v>
      </c>
      <c r="CE31" s="403">
        <f>IFERROR(VLOOKUP(B31,'Staff Survey'!B:L,9,FALSE),"-")</f>
        <v>6.8</v>
      </c>
      <c r="CF31" s="428" t="s">
        <v>389</v>
      </c>
      <c r="CG31" s="140">
        <f>IFERROR(VLOOKUP(B31,'Staff Survey'!B:L,10,FALSE),"-")</f>
        <v>7.1</v>
      </c>
      <c r="CH31" s="277">
        <v>7.3</v>
      </c>
      <c r="CI31" s="412">
        <f>IFERROR(VLOOKUP(B31,'Staff Survey'!B:L,11,FALSE),"-")</f>
        <v>6.2</v>
      </c>
      <c r="CJ31" s="111">
        <v>6.6</v>
      </c>
      <c r="CL31" s="119" t="str">
        <f>IFERROR(VLOOKUP(B31,'LfE . HR Ops . F2SU'!A:B,2,FALSE),0)</f>
        <v>-</v>
      </c>
      <c r="CM31" s="119">
        <f>IFERROR(VLOOKUP(B31,'Previous Dashboard'!B:CR,89,FALSE),0)</f>
        <v>1</v>
      </c>
      <c r="CN31" s="124"/>
      <c r="CO31" s="125"/>
      <c r="CP31" s="126"/>
      <c r="CQ31" s="126"/>
    </row>
    <row r="32" spans="1:95" x14ac:dyDescent="0.25">
      <c r="A32" s="651"/>
      <c r="B32" s="543" t="s">
        <v>54</v>
      </c>
      <c r="C32" s="310">
        <f>IFERROR(VLOOKUP(B32,'Staff In Post'!A:C,3,FALSE),0)</f>
        <v>91</v>
      </c>
      <c r="D32" s="246">
        <f>IFERROR(VLOOKUP(B32,'Mandatory Training'!A:C,3,FALSE),0)</f>
        <v>0.45454545454545453</v>
      </c>
      <c r="E32" s="24">
        <f>IFERROR(VLOOKUP(B32,'Previous Dashboard'!B:CR,3,FALSE),0)</f>
        <v>0.55263157894736847</v>
      </c>
      <c r="F32" s="63">
        <f>IF(D32&gt;=Benchmark!C$4,1,0)</f>
        <v>0</v>
      </c>
      <c r="G32" s="17">
        <f>IFERROR(VLOOKUP(B32,Appraisals!A:C,3,FALSE),0)</f>
        <v>0.84313725490196079</v>
      </c>
      <c r="H32" s="24">
        <f>IFERROR(VLOOKUP(B32,'Previous Dashboard'!B:CR,6,FALSE),0)</f>
        <v>0.9</v>
      </c>
      <c r="I32" s="63">
        <f>IF(G32&gt;=Benchmark!E$4,1,0)</f>
        <v>0</v>
      </c>
      <c r="J32" s="59">
        <f t="shared" si="0"/>
        <v>0.64884135472370763</v>
      </c>
      <c r="K32" s="91">
        <f t="shared" si="1"/>
        <v>0.72631578947368425</v>
      </c>
      <c r="L32" s="63">
        <f>IF(J32&gt;=Benchmark!G$4,1,0)</f>
        <v>0</v>
      </c>
      <c r="M32" s="51">
        <f>IFERROR(VLOOKUP(B32,Stress!A:D,4,FALSE),"-")</f>
        <v>1.26455636536835E-2</v>
      </c>
      <c r="N32" s="60">
        <f>IFERROR(VLOOKUP(B32,'Previous Dashboard'!B:CR,12,FALSE),0)</f>
        <v>3.8292101462148401E-3</v>
      </c>
      <c r="O32" s="52">
        <f>IFERROR(VLOOKUP(B32,'Musculo Skeletal'!A:D,4,FALSE),"-")</f>
        <v>1.1859849917906701E-2</v>
      </c>
      <c r="P32" s="43">
        <f>IFERROR(VLOOKUP(B32,'Previous Dashboard'!B:CR,14,FALSE),0)</f>
        <v>1.37555550670692E-2</v>
      </c>
      <c r="Q32" s="52">
        <f>IFERROR(VLOOKUP(B32,'All Sickness'!A:D,4,FALSE),"-")</f>
        <v>4.7550363788806498E-2</v>
      </c>
      <c r="R32" s="43">
        <f>IFERROR(VLOOKUP(B32,'Previous Dashboard'!B:CR,16,FALSE),0)</f>
        <v>4.6720045930099298E-2</v>
      </c>
      <c r="S32" s="63">
        <f>IF(Q32&lt;=Benchmark!K$4,1,0)</f>
        <v>0</v>
      </c>
      <c r="T32" s="44">
        <f>IFERROR(VLOOKUP(B32,LT.ST!A:C,3,FALSE),"-")</f>
        <v>1.9518015038694003E-2</v>
      </c>
      <c r="U32" s="43">
        <f>IFERROR(VLOOKUP(B32,'Previous Dashboard'!B:CR,19,FALSE),0)</f>
        <v>1.1543126237864999E-2</v>
      </c>
      <c r="V32" s="42">
        <f>IFERROR(VLOOKUP(B32,Turnover!A:C,2,FALSE),0)</f>
        <v>8.1081081081081099E-2</v>
      </c>
      <c r="W32" s="60">
        <f>IFERROR(VLOOKUP(B32,'Previous Dashboard'!B:CR,21,FALSE),0)</f>
        <v>5.16129032258065E-2</v>
      </c>
      <c r="X32" s="63">
        <f>IF(V32&lt;=Benchmark!N$4,1,0)</f>
        <v>1</v>
      </c>
      <c r="Y32" s="159">
        <f>IFERROR(VLOOKUP(B32,Leavers!A:I,6,FALSE),0)</f>
        <v>6</v>
      </c>
      <c r="Z32" s="247">
        <f t="shared" si="2"/>
        <v>1</v>
      </c>
      <c r="AA32" s="298">
        <f>IFERROR(VLOOKUP(B32,'Previous Dashboard'!B:CR,25,FALSE),0)</f>
        <v>1</v>
      </c>
      <c r="AB32" s="188">
        <f>IFERROR(VLOOKUP(VLOOKUP($B32,'Pulse Mapping'!$A:$C,3,FALSE),'Pulse Survey'!$A:$J,2,FALSE),0)</f>
        <v>11</v>
      </c>
      <c r="AC32" s="25">
        <f>IFERROR(VLOOKUP(B32,'Previous Dashboard'!B:CR,27,FALSE),0)</f>
        <v>9</v>
      </c>
      <c r="AD32" s="362">
        <f t="shared" si="3"/>
        <v>0.12087912087912088</v>
      </c>
      <c r="AE32" s="408">
        <f>IFERROR(VLOOKUP(B32,'Staff Engagement'!A:E,5,FALSE),0)</f>
        <v>5.9848484848484853</v>
      </c>
      <c r="AF32" s="409">
        <f>IFERROR(VLOOKUP(B32,'Previous Dashboard'!B:CQ,30,FALSE),0)</f>
        <v>6.6358024691358031</v>
      </c>
      <c r="AG32" s="112">
        <f>IFERROR(VLOOKUP(B32,'Staff Engagement'!A:E,2,FALSE),0)</f>
        <v>6.0606060606060606</v>
      </c>
      <c r="AH32" s="409">
        <f>IFERROR(VLOOKUP(B32,'Previous Dashboard'!B:CQ,32,FALSE),0)</f>
        <v>6.2037037037037033</v>
      </c>
      <c r="AI32" s="112">
        <f>IFERROR(VLOOKUP(B32,'Staff Engagement'!A:E,3,FALSE),0)</f>
        <v>5.3787878787878789</v>
      </c>
      <c r="AJ32" s="409">
        <f>IFERROR(VLOOKUP(B32,'Previous Dashboard'!B:CQ,34,FALSE),0)</f>
        <v>6.7592592592592595</v>
      </c>
      <c r="AK32" s="112">
        <f>IFERROR(VLOOKUP(B32,'Staff Engagement'!A:E,4,FALSE),0)</f>
        <v>6.5151515151515156</v>
      </c>
      <c r="AL32" s="271">
        <f>IFERROR(VLOOKUP(B32,'Previous Dashboard'!B:CQ,36,FALSE),0)</f>
        <v>6.9444444444444446</v>
      </c>
      <c r="AM32" s="386">
        <f>IFERROR(VLOOKUP(B32,'Patient Experience'!A:K,9,FALSE),0)</f>
        <v>0.66666666666666663</v>
      </c>
      <c r="AN32" s="60">
        <f>IFERROR(VLOOKUP(VLOOKUP($B32,'Pulse Mapping'!$A:$C,3,FALSE),'Pulse Survey'!$A:$J,'Pulse Survey'!C$1,FALSE),0)</f>
        <v>0.36363636363636365</v>
      </c>
      <c r="AO32" s="63" cm="1">
        <f t="array" ref="AO32">_xlfn.IFS(AN32 = "-",0,AN32 &gt;=Benchmark!R$4,1,AN32&lt;Benchmark!R$4,0)</f>
        <v>0</v>
      </c>
      <c r="AP32" s="43">
        <f>IFERROR(VLOOKUP(B32,'Previous Dashboard'!B:CR,39,FALSE),0)</f>
        <v>0.44444444444444442</v>
      </c>
      <c r="AQ32" s="43">
        <f>IFERROR(VLOOKUP(VLOOKUP($B32,'Pulse Mapping'!$A:$C,3,FALSE),'Pulse Survey'!$A:$J,'Pulse Survey'!D$1,FALSE),0)</f>
        <v>0.63636363636363635</v>
      </c>
      <c r="AR32" s="63" cm="1">
        <f t="array" ref="AR32">_xlfn.IFS(AQ32 = "-",0,AQ32 &gt;=Benchmark!T$4,1,AQ32&lt;Benchmark!T$4,0)</f>
        <v>0</v>
      </c>
      <c r="AS32" s="24">
        <f>IFERROR(VLOOKUP(B32,'Previous Dashboard'!B:CR,42,FALSE),0)</f>
        <v>0.77777777777777779</v>
      </c>
      <c r="AT32" s="43">
        <f>IFERROR(VLOOKUP(VLOOKUP($B32,'Pulse Mapping'!$A:$C,3,FALSE),'Pulse Survey'!$A:$J,'Pulse Survey'!E$1,FALSE),0)</f>
        <v>0.45454545454545453</v>
      </c>
      <c r="AU32" s="63" cm="1">
        <f t="array" ref="AU32">_xlfn.IFS(AT32 = "-",0,AT32 &gt;=Benchmark!V$4,1,AT32&lt;Benchmark!V$4,0)</f>
        <v>0</v>
      </c>
      <c r="AV32" s="24">
        <f>IFERROR(VLOOKUP(B32,'Previous Dashboard'!B:CR,45,FALSE),0)</f>
        <v>0.66666666666666663</v>
      </c>
      <c r="AW32" s="43">
        <f>IFERROR(VLOOKUP(VLOOKUP($B32,'Pulse Mapping'!$A:$C,3,FALSE),'Pulse Survey'!$A:$J,'Pulse Survey'!F$1,FALSE),0)</f>
        <v>0.63636363636363635</v>
      </c>
      <c r="AX32" s="63" cm="1">
        <f t="array" ref="AX32">_xlfn.IFS(AW32 = "-",0,AW32 &gt;=Benchmark!X$4,1,AW32&lt;Benchmark!X$4,0)</f>
        <v>0</v>
      </c>
      <c r="AY32" s="24">
        <f>IFERROR(VLOOKUP(B32,'Previous Dashboard'!B:CR,48,FALSE),0)</f>
        <v>0.77777777777777768</v>
      </c>
      <c r="AZ32" s="43">
        <f>IFERROR(VLOOKUP(VLOOKUP($B32,'Pulse Mapping'!$A:$C,3,FALSE),'Pulse Survey'!$A:$J,'Pulse Survey'!G$1,FALSE),0)</f>
        <v>0.27272727272727271</v>
      </c>
      <c r="BA32" s="63" cm="1">
        <f t="array" ref="BA32">_xlfn.IFS(AZ32 = "-",0,AZ32 &gt;=Benchmark!Z$4,1,AZ32&lt;Benchmark!Z$4,0)</f>
        <v>0</v>
      </c>
      <c r="BB32" s="24">
        <f>IFERROR(VLOOKUP(B32,'Previous Dashboard'!B:CR,51,FALSE),0)</f>
        <v>0.55555555555555558</v>
      </c>
      <c r="BC32" s="43">
        <f>IFERROR(VLOOKUP(VLOOKUP($B32,'Pulse Mapping'!$A:$C,3,FALSE),'Pulse Survey'!$A:$J,'Pulse Survey'!H$1,FALSE),0)</f>
        <v>0.54545454545454541</v>
      </c>
      <c r="BD32" s="63" cm="1">
        <f t="array" ref="BD32">_xlfn.IFS(BC32 = "-",0,BC32 &gt;=Benchmark!AB$4,1,BC32&lt;Benchmark!AB$4,0)</f>
        <v>0</v>
      </c>
      <c r="BE32" s="24">
        <f>IFERROR(VLOOKUP(B32,'Previous Dashboard'!B:CR,54,FALSE),0)</f>
        <v>0.66666666666666674</v>
      </c>
      <c r="BF32" s="43">
        <f>IFERROR(VLOOKUP(VLOOKUP($B32,'Pulse Mapping'!$A:$C,3,FALSE),'Pulse Survey'!$A:$J,'Pulse Survey'!I$1,FALSE),0)</f>
        <v>0.63636363636363635</v>
      </c>
      <c r="BG32" s="63" cm="1">
        <f t="array" ref="BG32">_xlfn.IFS(BF32 = "-",0,BF32 &gt;=Benchmark!AD$4,1,BF32&lt;Benchmark!AD$4,0)</f>
        <v>0</v>
      </c>
      <c r="BH32" s="91">
        <f>IFERROR(VLOOKUP(B32,'Previous Dashboard'!B:CR,57,FALSE),0)</f>
        <v>0.66666666666666663</v>
      </c>
      <c r="BI32" s="44">
        <f>IFERROR(VLOOKUP(VLOOKUP($B32,'Pulse Mapping'!$A:$C,3,FALSE),'Pulse Survey'!$A:$J,'Pulse Survey'!J$1,FALSE),0)</f>
        <v>0.45454545454545453</v>
      </c>
      <c r="BJ32" s="63" cm="1">
        <f t="array" ref="BJ32">_xlfn.IFS(BI32 = "-",0,BI32 &gt;=Benchmark!AF$4,1,BI32&lt;Benchmark!AF$4,0)</f>
        <v>0</v>
      </c>
      <c r="BK32" s="145">
        <f>IFERROR(VLOOKUP(B32,'Previous Dashboard'!B:CR,60,FALSE),0)</f>
        <v>0.66666666666666663</v>
      </c>
      <c r="BL32" s="224">
        <f t="shared" si="4"/>
        <v>0</v>
      </c>
      <c r="BM32" s="325">
        <f>IFERROR(VLOOKUP(B32,'Previous Dashboard'!B:CR,63,FALSE),0)</f>
        <v>2</v>
      </c>
      <c r="BN32" s="285">
        <f t="shared" si="5"/>
        <v>1</v>
      </c>
      <c r="BO32" s="190">
        <f>IFERROR(VLOOKUP(B32,'Previous Dashboard'!B:CR,65,FALSE),0)</f>
        <v>3</v>
      </c>
      <c r="BP32" s="25">
        <f>IFERROR(VLOOKUP(B32,'Previous Dashboard'!B:CR,66,FALSE),0)</f>
        <v>1</v>
      </c>
      <c r="BQ32" s="288">
        <f>IFERROR(VLOOKUP(B32,'Previous Dashboard'!B:CR,67,FALSE),0)</f>
        <v>2</v>
      </c>
      <c r="BR32" s="99"/>
      <c r="BS32" s="403">
        <f>IFERROR(VLOOKUP(B32,'Staff Survey'!B:L,3,FALSE),"-")</f>
        <v>7.2</v>
      </c>
      <c r="BT32" s="401" t="s">
        <v>389</v>
      </c>
      <c r="BU32" s="136">
        <f>IFERROR(VLOOKUP(B32,'Staff Survey'!B:L,4,FALSE),"-")</f>
        <v>5.7</v>
      </c>
      <c r="BV32" s="399" t="s">
        <v>389</v>
      </c>
      <c r="BW32" s="403">
        <f>IFERROR(VLOOKUP(B32,'Staff Survey'!B:L,5,FALSE),"-")</f>
        <v>6.7</v>
      </c>
      <c r="BX32" s="402" t="s">
        <v>389</v>
      </c>
      <c r="BY32" s="403">
        <f>IFERROR(VLOOKUP(B32,'Staff Survey'!B:L,6,FALSE),"-")</f>
        <v>5.9</v>
      </c>
      <c r="BZ32" s="402" t="s">
        <v>389</v>
      </c>
      <c r="CA32" s="403">
        <f>IFERROR(VLOOKUP(B32,'Staff Survey'!B:L,7,FALSE),"-")</f>
        <v>5.2</v>
      </c>
      <c r="CB32" s="428" t="s">
        <v>389</v>
      </c>
      <c r="CC32" s="403">
        <f>IFERROR(VLOOKUP(B32,'Staff Survey'!B:L,8,FALSE),"-")</f>
        <v>5.4</v>
      </c>
      <c r="CD32" s="428" t="s">
        <v>389</v>
      </c>
      <c r="CE32" s="403">
        <f>IFERROR(VLOOKUP(B32,'Staff Survey'!B:L,9,FALSE),"-")</f>
        <v>6.3</v>
      </c>
      <c r="CF32" s="428" t="s">
        <v>389</v>
      </c>
      <c r="CG32" s="140">
        <f>IFERROR(VLOOKUP(B32,'Staff Survey'!B:L,10,FALSE),"-")</f>
        <v>6.9</v>
      </c>
      <c r="CH32" s="277">
        <v>6.8</v>
      </c>
      <c r="CI32" s="412">
        <f>IFERROR(VLOOKUP(B32,'Staff Survey'!B:L,11,FALSE),"-")</f>
        <v>5.9</v>
      </c>
      <c r="CJ32" s="111">
        <v>5.8</v>
      </c>
      <c r="CL32" s="119">
        <f>IFERROR(VLOOKUP(B32,'LfE . HR Ops . F2SU'!A:B,2,FALSE),0)</f>
        <v>12</v>
      </c>
      <c r="CM32" s="119">
        <f>IFERROR(VLOOKUP(B32,'Previous Dashboard'!B:CR,89,FALSE),0)</f>
        <v>11</v>
      </c>
      <c r="CN32" s="124"/>
      <c r="CO32" s="125"/>
      <c r="CP32" s="126"/>
      <c r="CQ32" s="126"/>
    </row>
    <row r="33" spans="1:95" x14ac:dyDescent="0.25">
      <c r="A33" s="651"/>
      <c r="B33" s="544" t="s">
        <v>55</v>
      </c>
      <c r="C33" s="310">
        <f>IFERROR(VLOOKUP(B33,'Staff In Post'!A:C,3,FALSE),0)</f>
        <v>43</v>
      </c>
      <c r="D33" s="246">
        <f>IFERROR(VLOOKUP(B33,'Mandatory Training'!A:C,3,FALSE),0)</f>
        <v>0.77500000000000002</v>
      </c>
      <c r="E33" s="24">
        <f>IFERROR(VLOOKUP(B33,'Previous Dashboard'!B:CR,3,FALSE),0)</f>
        <v>0.625</v>
      </c>
      <c r="F33" s="63">
        <f>IF(D33&gt;=Benchmark!C$4,1,0)</f>
        <v>0</v>
      </c>
      <c r="G33" s="17">
        <f>IFERROR(VLOOKUP(B33,Appraisals!A:C,3,FALSE),0)</f>
        <v>0.81578947368421051</v>
      </c>
      <c r="H33" s="24">
        <f>IFERROR(VLOOKUP(B33,'Previous Dashboard'!B:CR,6,FALSE),0)</f>
        <v>0.8</v>
      </c>
      <c r="I33" s="63">
        <f>IF(G33&gt;=Benchmark!E$4,1,0)</f>
        <v>0</v>
      </c>
      <c r="J33" s="59">
        <f t="shared" si="0"/>
        <v>0.79539473684210527</v>
      </c>
      <c r="K33" s="91">
        <f t="shared" si="1"/>
        <v>0.71250000000000002</v>
      </c>
      <c r="L33" s="63">
        <f>IF(J33&gt;=Benchmark!G$4,1,0)</f>
        <v>0</v>
      </c>
      <c r="M33" s="51">
        <f>IFERROR(VLOOKUP(B33,Stress!A:D,4,FALSE),"-")</f>
        <v>2.35299613969218E-2</v>
      </c>
      <c r="N33" s="60">
        <f>IFERROR(VLOOKUP(B33,'Previous Dashboard'!B:CR,12,FALSE),0)</f>
        <v>6.0493456319251303E-4</v>
      </c>
      <c r="O33" s="52">
        <f>IFERROR(VLOOKUP(B33,'Musculo Skeletal'!A:D,4,FALSE),"-")</f>
        <v>1.81180702756298E-3</v>
      </c>
      <c r="P33" s="43">
        <f>IFERROR(VLOOKUP(B33,'Previous Dashboard'!B:CR,14,FALSE),0)</f>
        <v>0</v>
      </c>
      <c r="Q33" s="52">
        <f>IFERROR(VLOOKUP(B33,'All Sickness'!A:D,4,FALSE),"-")</f>
        <v>8.2272518848072601E-2</v>
      </c>
      <c r="R33" s="43">
        <f>IFERROR(VLOOKUP(B33,'Previous Dashboard'!B:CR,16,FALSE),0)</f>
        <v>9.7866314632966897E-2</v>
      </c>
      <c r="S33" s="63">
        <f>IF(Q33&lt;=Benchmark!K$4,1,0)</f>
        <v>0</v>
      </c>
      <c r="T33" s="44">
        <f>IFERROR(VLOOKUP(B33,LT.ST!A:C,3,FALSE),"-")</f>
        <v>4.4224562445514495E-2</v>
      </c>
      <c r="U33" s="43">
        <f>IFERROR(VLOOKUP(B33,'Previous Dashboard'!B:CR,19,FALSE),0)</f>
        <v>6.8086041993815793E-2</v>
      </c>
      <c r="V33" s="42">
        <f>IFERROR(VLOOKUP(B33,Turnover!A:C,2,FALSE),0)</f>
        <v>0</v>
      </c>
      <c r="W33" s="60">
        <f>IFERROR(VLOOKUP(B33,'Previous Dashboard'!B:CR,21,FALSE),0)</f>
        <v>3.03030303030303E-2</v>
      </c>
      <c r="X33" s="63">
        <f>IF(V33&lt;=Benchmark!N$4,1,0)</f>
        <v>1</v>
      </c>
      <c r="Y33" s="159">
        <f>IFERROR(VLOOKUP(B33,Leavers!A:I,6,FALSE),0)</f>
        <v>0</v>
      </c>
      <c r="Z33" s="247">
        <f t="shared" si="2"/>
        <v>1</v>
      </c>
      <c r="AA33" s="298">
        <f>IFERROR(VLOOKUP(B33,'Previous Dashboard'!B:CR,25,FALSE),0)</f>
        <v>1</v>
      </c>
      <c r="AB33" s="188">
        <f>IFERROR(VLOOKUP(VLOOKUP($B33,'Pulse Mapping'!$A:$C,3,FALSE),'Pulse Survey'!$A:$J,2,FALSE),0)</f>
        <v>3</v>
      </c>
      <c r="AC33" s="25">
        <f>IFERROR(VLOOKUP(B33,'Previous Dashboard'!B:CR,27,FALSE),0)</f>
        <v>1</v>
      </c>
      <c r="AD33" s="362">
        <f t="shared" si="3"/>
        <v>6.9767441860465115E-2</v>
      </c>
      <c r="AE33" s="408">
        <f>IFERROR(VLOOKUP(B33,'Staff Engagement'!A:E,5,FALSE),0)</f>
        <v>7.2222222222222223</v>
      </c>
      <c r="AF33" s="409">
        <f>IFERROR(VLOOKUP(B33,'Previous Dashboard'!B:CQ,30,FALSE),0)</f>
        <v>7.2222222222222214</v>
      </c>
      <c r="AG33" s="112">
        <f>IFERROR(VLOOKUP(B33,'Staff Engagement'!A:E,2,FALSE),0)</f>
        <v>6.3888888888888893</v>
      </c>
      <c r="AH33" s="409">
        <f>IFERROR(VLOOKUP(B33,'Previous Dashboard'!B:CQ,32,FALSE),0)</f>
        <v>5</v>
      </c>
      <c r="AI33" s="112">
        <f>IFERROR(VLOOKUP(B33,'Staff Engagement'!A:E,3,FALSE),0)</f>
        <v>6.1111111111111107</v>
      </c>
      <c r="AJ33" s="409">
        <f>IFERROR(VLOOKUP(B33,'Previous Dashboard'!B:CQ,34,FALSE),0)</f>
        <v>10</v>
      </c>
      <c r="AK33" s="112">
        <f>IFERROR(VLOOKUP(B33,'Staff Engagement'!A:E,4,FALSE),0)</f>
        <v>9.1666666666666661</v>
      </c>
      <c r="AL33" s="271">
        <f>IFERROR(VLOOKUP(B33,'Previous Dashboard'!B:CQ,36,FALSE),0)</f>
        <v>6.666666666666667</v>
      </c>
      <c r="AM33" s="388"/>
      <c r="AN33" s="60" t="str">
        <f>IFERROR(VLOOKUP(VLOOKUP($B33,'Pulse Mapping'!$A:$C,3,FALSE),'Pulse Survey'!$A:$J,'Pulse Survey'!C$1,FALSE),0)</f>
        <v>-</v>
      </c>
      <c r="AO33" s="63" cm="1">
        <f t="array" ref="AO33">_xlfn.IFS(AN33 = "-",0,AN33 &gt;=Benchmark!R$4,1,AN33&lt;Benchmark!R$4,0)</f>
        <v>0</v>
      </c>
      <c r="AP33" s="43" t="str">
        <f>IFERROR(VLOOKUP(B33,'Previous Dashboard'!B:CR,39,FALSE),0)</f>
        <v>-</v>
      </c>
      <c r="AQ33" s="43" t="str">
        <f>IFERROR(VLOOKUP(VLOOKUP($B33,'Pulse Mapping'!$A:$C,3,FALSE),'Pulse Survey'!$A:$J,'Pulse Survey'!D$1,FALSE),0)</f>
        <v>-</v>
      </c>
      <c r="AR33" s="63" cm="1">
        <f t="array" ref="AR33">_xlfn.IFS(AQ33 = "-",0,AQ33 &gt;=Benchmark!T$4,1,AQ33&lt;Benchmark!T$4,0)</f>
        <v>0</v>
      </c>
      <c r="AS33" s="24" t="str">
        <f>IFERROR(VLOOKUP(B33,'Previous Dashboard'!B:CR,42,FALSE),0)</f>
        <v>-</v>
      </c>
      <c r="AT33" s="43" t="str">
        <f>IFERROR(VLOOKUP(VLOOKUP($B33,'Pulse Mapping'!$A:$C,3,FALSE),'Pulse Survey'!$A:$J,'Pulse Survey'!E$1,FALSE),0)</f>
        <v>-</v>
      </c>
      <c r="AU33" s="63" cm="1">
        <f t="array" ref="AU33">_xlfn.IFS(AT33 = "-",0,AT33 &gt;=Benchmark!V$4,1,AT33&lt;Benchmark!V$4,0)</f>
        <v>0</v>
      </c>
      <c r="AV33" s="24" t="str">
        <f>IFERROR(VLOOKUP(B33,'Previous Dashboard'!B:CR,45,FALSE),0)</f>
        <v>-</v>
      </c>
      <c r="AW33" s="43" t="str">
        <f>IFERROR(VLOOKUP(VLOOKUP($B33,'Pulse Mapping'!$A:$C,3,FALSE),'Pulse Survey'!$A:$J,'Pulse Survey'!F$1,FALSE),0)</f>
        <v>-</v>
      </c>
      <c r="AX33" s="63" cm="1">
        <f t="array" ref="AX33">_xlfn.IFS(AW33 = "-",0,AW33 &gt;=Benchmark!X$4,1,AW33&lt;Benchmark!X$4,0)</f>
        <v>0</v>
      </c>
      <c r="AY33" s="24" t="str">
        <f>IFERROR(VLOOKUP(B33,'Previous Dashboard'!B:CR,48,FALSE),0)</f>
        <v>-</v>
      </c>
      <c r="AZ33" s="43" t="str">
        <f>IFERROR(VLOOKUP(VLOOKUP($B33,'Pulse Mapping'!$A:$C,3,FALSE),'Pulse Survey'!$A:$J,'Pulse Survey'!G$1,FALSE),0)</f>
        <v>-</v>
      </c>
      <c r="BA33" s="63" cm="1">
        <f t="array" ref="BA33">_xlfn.IFS(AZ33 = "-",0,AZ33 &gt;=Benchmark!Z$4,1,AZ33&lt;Benchmark!Z$4,0)</f>
        <v>0</v>
      </c>
      <c r="BB33" s="24" t="str">
        <f>IFERROR(VLOOKUP(B33,'Previous Dashboard'!B:CR,51,FALSE),0)</f>
        <v>-</v>
      </c>
      <c r="BC33" s="43" t="str">
        <f>IFERROR(VLOOKUP(VLOOKUP($B33,'Pulse Mapping'!$A:$C,3,FALSE),'Pulse Survey'!$A:$J,'Pulse Survey'!H$1,FALSE),0)</f>
        <v>-</v>
      </c>
      <c r="BD33" s="63" cm="1">
        <f t="array" ref="BD33">_xlfn.IFS(BC33 = "-",0,BC33 &gt;=Benchmark!AB$4,1,BC33&lt;Benchmark!AB$4,0)</f>
        <v>0</v>
      </c>
      <c r="BE33" s="24" t="str">
        <f>IFERROR(VLOOKUP(B33,'Previous Dashboard'!B:CR,54,FALSE),0)</f>
        <v>-</v>
      </c>
      <c r="BF33" s="43" t="str">
        <f>IFERROR(VLOOKUP(VLOOKUP($B33,'Pulse Mapping'!$A:$C,3,FALSE),'Pulse Survey'!$A:$J,'Pulse Survey'!I$1,FALSE),0)</f>
        <v>-</v>
      </c>
      <c r="BG33" s="63" cm="1">
        <f t="array" ref="BG33">_xlfn.IFS(BF33 = "-",0,BF33 &gt;=Benchmark!AD$4,1,BF33&lt;Benchmark!AD$4,0)</f>
        <v>0</v>
      </c>
      <c r="BH33" s="91" t="str">
        <f>IFERROR(VLOOKUP(B33,'Previous Dashboard'!B:CR,57,FALSE),0)</f>
        <v>-</v>
      </c>
      <c r="BI33" s="44" t="str">
        <f>IFERROR(VLOOKUP(VLOOKUP($B33,'Pulse Mapping'!$A:$C,3,FALSE),'Pulse Survey'!$A:$J,'Pulse Survey'!J$1,FALSE),0)</f>
        <v>-</v>
      </c>
      <c r="BJ33" s="63" cm="1">
        <f t="array" ref="BJ33">_xlfn.IFS(BI33 = "-",0,BI33 &gt;=Benchmark!AF$4,1,BI33&lt;Benchmark!AF$4,0)</f>
        <v>0</v>
      </c>
      <c r="BK33" s="145" t="str">
        <f>IFERROR(VLOOKUP(B33,'Previous Dashboard'!B:CR,60,FALSE),0)</f>
        <v>-</v>
      </c>
      <c r="BL33" s="224">
        <f t="shared" si="4"/>
        <v>0</v>
      </c>
      <c r="BM33" s="325">
        <f>IFERROR(VLOOKUP(B33,'Previous Dashboard'!B:CR,63,FALSE),0)</f>
        <v>0</v>
      </c>
      <c r="BN33" s="285">
        <f t="shared" si="5"/>
        <v>1</v>
      </c>
      <c r="BO33" s="190">
        <f>IFERROR(VLOOKUP(B33,'Previous Dashboard'!B:CR,65,FALSE),0)</f>
        <v>1</v>
      </c>
      <c r="BP33" s="25">
        <f>IFERROR(VLOOKUP(B33,'Previous Dashboard'!B:CR,66,FALSE),0)</f>
        <v>1</v>
      </c>
      <c r="BQ33" s="288">
        <f>IFERROR(VLOOKUP(B33,'Previous Dashboard'!B:CR,67,FALSE),0)</f>
        <v>2</v>
      </c>
      <c r="BR33" s="99"/>
      <c r="BS33" s="403">
        <f>IFERROR(VLOOKUP(B33,'Staff Survey'!B:L,3,FALSE),"-")</f>
        <v>7.3</v>
      </c>
      <c r="BT33" s="401" t="s">
        <v>389</v>
      </c>
      <c r="BU33" s="136">
        <f>IFERROR(VLOOKUP(B33,'Staff Survey'!B:L,4,FALSE),"-")</f>
        <v>6</v>
      </c>
      <c r="BV33" s="399" t="s">
        <v>389</v>
      </c>
      <c r="BW33" s="403">
        <f>IFERROR(VLOOKUP(B33,'Staff Survey'!B:L,5,FALSE),"-")</f>
        <v>6.7</v>
      </c>
      <c r="BX33" s="402" t="s">
        <v>389</v>
      </c>
      <c r="BY33" s="403">
        <f>IFERROR(VLOOKUP(B33,'Staff Survey'!B:L,6,FALSE),"-")</f>
        <v>6</v>
      </c>
      <c r="BZ33" s="402" t="s">
        <v>389</v>
      </c>
      <c r="CA33" s="403">
        <f>IFERROR(VLOOKUP(B33,'Staff Survey'!B:L,7,FALSE),"-")</f>
        <v>5.2</v>
      </c>
      <c r="CB33" s="428" t="s">
        <v>389</v>
      </c>
      <c r="CC33" s="403">
        <f>IFERROR(VLOOKUP(B33,'Staff Survey'!B:L,8,FALSE),"-")</f>
        <v>6.7</v>
      </c>
      <c r="CD33" s="428" t="s">
        <v>389</v>
      </c>
      <c r="CE33" s="403">
        <f>IFERROR(VLOOKUP(B33,'Staff Survey'!B:L,9,FALSE),"-")</f>
        <v>6.9</v>
      </c>
      <c r="CF33" s="428" t="s">
        <v>389</v>
      </c>
      <c r="CG33" s="140">
        <f>IFERROR(VLOOKUP(B33,'Staff Survey'!B:L,10,FALSE),"-")</f>
        <v>6.9</v>
      </c>
      <c r="CH33" s="417" t="s">
        <v>389</v>
      </c>
      <c r="CI33" s="412">
        <f>IFERROR(VLOOKUP(B33,'Staff Survey'!B:L,11,FALSE),"-")</f>
        <v>6.1</v>
      </c>
      <c r="CJ33" s="419" t="s">
        <v>389</v>
      </c>
      <c r="CL33" s="119">
        <f>IFERROR(VLOOKUP(B33,'LfE . HR Ops . F2SU'!A:B,2,FALSE),0)</f>
        <v>18</v>
      </c>
      <c r="CM33" s="119" t="str">
        <f>IFERROR(VLOOKUP(B33,'Previous Dashboard'!B:CR,89,FALSE),0)</f>
        <v>-</v>
      </c>
      <c r="CN33" s="124"/>
      <c r="CO33" s="125"/>
      <c r="CP33" s="126"/>
      <c r="CQ33" s="126"/>
    </row>
    <row r="34" spans="1:95" x14ac:dyDescent="0.25">
      <c r="A34" s="651"/>
      <c r="B34" s="543" t="s">
        <v>56</v>
      </c>
      <c r="C34" s="310">
        <f>IFERROR(VLOOKUP(B34,'Staff In Post'!A:C,3,FALSE),0)</f>
        <v>599</v>
      </c>
      <c r="D34" s="246">
        <f>IFERROR(VLOOKUP(B34,'Mandatory Training'!A:C,3,FALSE),0)</f>
        <v>0.73144876325088337</v>
      </c>
      <c r="E34" s="24">
        <f>IFERROR(VLOOKUP(B34,'Previous Dashboard'!B:CR,3,FALSE),0)</f>
        <v>0.50549450549450547</v>
      </c>
      <c r="F34" s="63">
        <f>IF(D34&gt;=Benchmark!C$4,1,0)</f>
        <v>0</v>
      </c>
      <c r="G34" s="17">
        <f>IFERROR(VLOOKUP(B34,Appraisals!A:C,3,FALSE),0)</f>
        <v>0.84368308351177734</v>
      </c>
      <c r="H34" s="24">
        <f>IFERROR(VLOOKUP(B34,'Previous Dashboard'!B:CR,6,FALSE),0)</f>
        <v>0.79515418502202639</v>
      </c>
      <c r="I34" s="63">
        <f>IF(G34&gt;=Benchmark!E$4,1,0)</f>
        <v>0</v>
      </c>
      <c r="J34" s="59">
        <f t="shared" si="0"/>
        <v>0.78756592338133036</v>
      </c>
      <c r="K34" s="91">
        <f t="shared" si="1"/>
        <v>0.65032434525826588</v>
      </c>
      <c r="L34" s="63">
        <f>IF(J34&gt;=Benchmark!G$4,1,0)</f>
        <v>0</v>
      </c>
      <c r="M34" s="51">
        <f>IFERROR(VLOOKUP(B34,Stress!A:D,4,FALSE),"-")</f>
        <v>2.0292566771829699E-2</v>
      </c>
      <c r="N34" s="60">
        <f>IFERROR(VLOOKUP(B34,'Previous Dashboard'!B:CR,12,FALSE),0)</f>
        <v>1.5907221520995302E-2</v>
      </c>
      <c r="O34" s="52">
        <f>IFERROR(VLOOKUP(B34,'Musculo Skeletal'!A:D,4,FALSE),"-")</f>
        <v>1.1420522766086001E-2</v>
      </c>
      <c r="P34" s="43">
        <f>IFERROR(VLOOKUP(B34,'Previous Dashboard'!B:CR,14,FALSE),0)</f>
        <v>9.2555930405826201E-3</v>
      </c>
      <c r="Q34" s="52">
        <f>IFERROR(VLOOKUP(B34,'All Sickness'!A:D,4,FALSE),"-")</f>
        <v>8.2759753512211001E-2</v>
      </c>
      <c r="R34" s="43">
        <f>IFERROR(VLOOKUP(B34,'Previous Dashboard'!B:CR,16,FALSE),0)</f>
        <v>8.3342838475033598E-2</v>
      </c>
      <c r="S34" s="63">
        <f>IF(Q34&lt;=Benchmark!K$4,1,0)</f>
        <v>0</v>
      </c>
      <c r="T34" s="44">
        <f>IFERROR(VLOOKUP(B34,LT.ST!A:C,3,FALSE),"-")</f>
        <v>4.0237762020035796E-2</v>
      </c>
      <c r="U34" s="43">
        <f>IFERROR(VLOOKUP(B34,'Previous Dashboard'!B:CR,19,FALSE),0)</f>
        <v>4.1702229475501701E-2</v>
      </c>
      <c r="V34" s="42">
        <f>IFERROR(VLOOKUP(B34,Turnover!A:C,2,FALSE),0)</f>
        <v>1.8628281117696901E-2</v>
      </c>
      <c r="W34" s="60">
        <f>IFERROR(VLOOKUP(B34,'Previous Dashboard'!B:CR,21,FALSE),0)</f>
        <v>3.6395147313691499E-2</v>
      </c>
      <c r="X34" s="63">
        <f>IF(V34&lt;=Benchmark!N$4,1,0)</f>
        <v>1</v>
      </c>
      <c r="Y34" s="159">
        <f>IFERROR(VLOOKUP(B34,Leavers!A:I,6,FALSE),0)</f>
        <v>11</v>
      </c>
      <c r="Z34" s="247">
        <f t="shared" si="2"/>
        <v>1</v>
      </c>
      <c r="AA34" s="298">
        <f>IFERROR(VLOOKUP(B34,'Previous Dashboard'!B:CR,25,FALSE),0)</f>
        <v>1</v>
      </c>
      <c r="AB34" s="188">
        <f>IFERROR(VLOOKUP(VLOOKUP($B34,'Pulse Mapping'!$A:$C,3,FALSE),'Pulse Survey'!$A:$J,2,FALSE),0)</f>
        <v>54</v>
      </c>
      <c r="AC34" s="25">
        <f>IFERROR(VLOOKUP(B34,'Previous Dashboard'!B:CR,27,FALSE),0)</f>
        <v>37</v>
      </c>
      <c r="AD34" s="362">
        <f t="shared" si="3"/>
        <v>9.0150250417362271E-2</v>
      </c>
      <c r="AE34" s="408">
        <f>IFERROR(VLOOKUP(B34,'Staff Engagement'!A:E,5,FALSE),0)</f>
        <v>6.0699588477366255</v>
      </c>
      <c r="AF34" s="409">
        <f>IFERROR(VLOOKUP(B34,'Previous Dashboard'!B:CQ,30,FALSE),0)</f>
        <v>5.698198198198198</v>
      </c>
      <c r="AG34" s="112">
        <f>IFERROR(VLOOKUP(B34,'Staff Engagement'!A:E,2,FALSE),0)</f>
        <v>6.0956790123456788</v>
      </c>
      <c r="AH34" s="409">
        <f>IFERROR(VLOOKUP(B34,'Previous Dashboard'!B:CQ,32,FALSE),0)</f>
        <v>5.6531531531531529</v>
      </c>
      <c r="AI34" s="112">
        <f>IFERROR(VLOOKUP(B34,'Staff Engagement'!A:E,3,FALSE),0)</f>
        <v>5.833333333333333</v>
      </c>
      <c r="AJ34" s="409">
        <f>IFERROR(VLOOKUP(B34,'Previous Dashboard'!B:CQ,34,FALSE),0)</f>
        <v>5.2477477477477477</v>
      </c>
      <c r="AK34" s="112">
        <f>IFERROR(VLOOKUP(B34,'Staff Engagement'!A:E,4,FALSE),0)</f>
        <v>6.2808641975308639</v>
      </c>
      <c r="AL34" s="271">
        <f>IFERROR(VLOOKUP(B34,'Previous Dashboard'!B:CQ,36,FALSE),0)</f>
        <v>6.1936936936936933</v>
      </c>
      <c r="AM34" s="386">
        <f>IFERROR(VLOOKUP(B34,'Patient Experience'!A:K,9,FALSE),0)</f>
        <v>1</v>
      </c>
      <c r="AN34" s="60">
        <f>IFERROR(VLOOKUP(VLOOKUP($B34,'Pulse Mapping'!$A:$C,3,FALSE),'Pulse Survey'!$A:$J,'Pulse Survey'!C$1,FALSE),0)</f>
        <v>0.51851851851851849</v>
      </c>
      <c r="AO34" s="63" cm="1">
        <f t="array" ref="AO34">_xlfn.IFS(AN34 = "-",0,AN34 &gt;=Benchmark!R$4,1,AN34&lt;Benchmark!R$4,0)</f>
        <v>0</v>
      </c>
      <c r="AP34" s="43">
        <f>IFERROR(VLOOKUP(B34,'Previous Dashboard'!B:CR,39,FALSE),0)</f>
        <v>0.43243243243243246</v>
      </c>
      <c r="AQ34" s="43">
        <f>IFERROR(VLOOKUP(VLOOKUP($B34,'Pulse Mapping'!$A:$C,3,FALSE),'Pulse Survey'!$A:$J,'Pulse Survey'!D$1,FALSE),0)</f>
        <v>0.55555555555555558</v>
      </c>
      <c r="AR34" s="63" cm="1">
        <f t="array" ref="AR34">_xlfn.IFS(AQ34 = "-",0,AQ34 &gt;=Benchmark!T$4,1,AQ34&lt;Benchmark!T$4,0)</f>
        <v>0</v>
      </c>
      <c r="AS34" s="24">
        <f>IFERROR(VLOOKUP(B34,'Previous Dashboard'!B:CR,42,FALSE),0)</f>
        <v>0.5135135135135136</v>
      </c>
      <c r="AT34" s="43">
        <f>IFERROR(VLOOKUP(VLOOKUP($B34,'Pulse Mapping'!$A:$C,3,FALSE),'Pulse Survey'!$A:$J,'Pulse Survey'!E$1,FALSE),0)</f>
        <v>0.46296296296296291</v>
      </c>
      <c r="AU34" s="63" cm="1">
        <f t="array" ref="AU34">_xlfn.IFS(AT34 = "-",0,AT34 &gt;=Benchmark!V$4,1,AT34&lt;Benchmark!V$4,0)</f>
        <v>0</v>
      </c>
      <c r="AV34" s="24">
        <f>IFERROR(VLOOKUP(B34,'Previous Dashboard'!B:CR,45,FALSE),0)</f>
        <v>0.3783783783783784</v>
      </c>
      <c r="AW34" s="43">
        <f>IFERROR(VLOOKUP(VLOOKUP($B34,'Pulse Mapping'!$A:$C,3,FALSE),'Pulse Survey'!$A:$J,'Pulse Survey'!F$1,FALSE),0)</f>
        <v>0.48148148148148151</v>
      </c>
      <c r="AX34" s="63" cm="1">
        <f t="array" ref="AX34">_xlfn.IFS(AW34 = "-",0,AW34 &gt;=Benchmark!X$4,1,AW34&lt;Benchmark!X$4,0)</f>
        <v>0</v>
      </c>
      <c r="AY34" s="24">
        <f>IFERROR(VLOOKUP(B34,'Previous Dashboard'!B:CR,48,FALSE),0)</f>
        <v>0.43243243243243246</v>
      </c>
      <c r="AZ34" s="43">
        <f>IFERROR(VLOOKUP(VLOOKUP($B34,'Pulse Mapping'!$A:$C,3,FALSE),'Pulse Survey'!$A:$J,'Pulse Survey'!G$1,FALSE),0)</f>
        <v>0.42592592592592593</v>
      </c>
      <c r="BA34" s="63" cm="1">
        <f t="array" ref="BA34">_xlfn.IFS(AZ34 = "-",0,AZ34 &gt;=Benchmark!Z$4,1,AZ34&lt;Benchmark!Z$4,0)</f>
        <v>0</v>
      </c>
      <c r="BB34" s="24">
        <f>IFERROR(VLOOKUP(B34,'Previous Dashboard'!B:CR,51,FALSE),0)</f>
        <v>0.48648648648648651</v>
      </c>
      <c r="BC34" s="43">
        <f>IFERROR(VLOOKUP(VLOOKUP($B34,'Pulse Mapping'!$A:$C,3,FALSE),'Pulse Survey'!$A:$J,'Pulse Survey'!H$1,FALSE),0)</f>
        <v>0.48148148148148145</v>
      </c>
      <c r="BD34" s="63" cm="1">
        <f t="array" ref="BD34">_xlfn.IFS(BC34 = "-",0,BC34 &gt;=Benchmark!AB$4,1,BC34&lt;Benchmark!AB$4,0)</f>
        <v>0</v>
      </c>
      <c r="BE34" s="24">
        <f>IFERROR(VLOOKUP(B34,'Previous Dashboard'!B:CR,54,FALSE),0)</f>
        <v>0.45945945945945948</v>
      </c>
      <c r="BF34" s="43">
        <f>IFERROR(VLOOKUP(VLOOKUP($B34,'Pulse Mapping'!$A:$C,3,FALSE),'Pulse Survey'!$A:$J,'Pulse Survey'!I$1,FALSE),0)</f>
        <v>0.5</v>
      </c>
      <c r="BG34" s="63" cm="1">
        <f t="array" ref="BG34">_xlfn.IFS(BF34 = "-",0,BF34 &gt;=Benchmark!AD$4,1,BF34&lt;Benchmark!AD$4,0)</f>
        <v>0</v>
      </c>
      <c r="BH34" s="91">
        <f>IFERROR(VLOOKUP(B34,'Previous Dashboard'!B:CR,57,FALSE),0)</f>
        <v>0.48648648648648651</v>
      </c>
      <c r="BI34" s="44">
        <f>IFERROR(VLOOKUP(VLOOKUP($B34,'Pulse Mapping'!$A:$C,3,FALSE),'Pulse Survey'!$A:$J,'Pulse Survey'!J$1,FALSE),0)</f>
        <v>0.42592592592592593</v>
      </c>
      <c r="BJ34" s="63" cm="1">
        <f t="array" ref="BJ34">_xlfn.IFS(BI34 = "-",0,BI34 &gt;=Benchmark!AF$4,1,BI34&lt;Benchmark!AF$4,0)</f>
        <v>0</v>
      </c>
      <c r="BK34" s="145">
        <f>IFERROR(VLOOKUP(B34,'Previous Dashboard'!B:CR,60,FALSE),0)</f>
        <v>0.3783783783783784</v>
      </c>
      <c r="BL34" s="224">
        <f t="shared" si="4"/>
        <v>0</v>
      </c>
      <c r="BM34" s="325">
        <f>IFERROR(VLOOKUP(B34,'Previous Dashboard'!B:CR,63,FALSE),0)</f>
        <v>0</v>
      </c>
      <c r="BN34" s="285">
        <f t="shared" si="5"/>
        <v>1</v>
      </c>
      <c r="BO34" s="190">
        <f>IFERROR(VLOOKUP(B34,'Previous Dashboard'!B:CR,65,FALSE),0)</f>
        <v>1</v>
      </c>
      <c r="BP34" s="25">
        <f>IFERROR(VLOOKUP(B34,'Previous Dashboard'!B:CR,66,FALSE),0)</f>
        <v>1</v>
      </c>
      <c r="BQ34" s="288">
        <f>IFERROR(VLOOKUP(B34,'Previous Dashboard'!B:CR,67,FALSE),0)</f>
        <v>1</v>
      </c>
      <c r="BR34" s="99"/>
      <c r="BS34" s="403">
        <f>IFERROR(VLOOKUP(B34,'Staff Survey'!B:L,3,FALSE),"-")</f>
        <v>6.7</v>
      </c>
      <c r="BT34" s="401" t="s">
        <v>389</v>
      </c>
      <c r="BU34" s="136">
        <f>IFERROR(VLOOKUP(B34,'Staff Survey'!B:L,4,FALSE),"-")</f>
        <v>5.0999999999999996</v>
      </c>
      <c r="BV34" s="399" t="s">
        <v>389</v>
      </c>
      <c r="BW34" s="403">
        <f>IFERROR(VLOOKUP(B34,'Staff Survey'!B:L,5,FALSE),"-")</f>
        <v>6.1</v>
      </c>
      <c r="BX34" s="402" t="s">
        <v>389</v>
      </c>
      <c r="BY34" s="403">
        <f>IFERROR(VLOOKUP(B34,'Staff Survey'!B:L,6,FALSE),"-")</f>
        <v>5.3</v>
      </c>
      <c r="BZ34" s="402" t="s">
        <v>389</v>
      </c>
      <c r="CA34" s="403">
        <f>IFERROR(VLOOKUP(B34,'Staff Survey'!B:L,7,FALSE),"-")</f>
        <v>4.8</v>
      </c>
      <c r="CB34" s="428" t="s">
        <v>389</v>
      </c>
      <c r="CC34" s="403">
        <f>IFERROR(VLOOKUP(B34,'Staff Survey'!B:L,8,FALSE),"-")</f>
        <v>5.2</v>
      </c>
      <c r="CD34" s="428" t="s">
        <v>389</v>
      </c>
      <c r="CE34" s="403">
        <f>IFERROR(VLOOKUP(B34,'Staff Survey'!B:L,9,FALSE),"-")</f>
        <v>6</v>
      </c>
      <c r="CF34" s="428" t="s">
        <v>389</v>
      </c>
      <c r="CG34" s="140">
        <f>IFERROR(VLOOKUP(B34,'Staff Survey'!B:L,10,FALSE),"-")</f>
        <v>6.2</v>
      </c>
      <c r="CH34" s="409">
        <v>6.8</v>
      </c>
      <c r="CI34" s="412">
        <f>IFERROR(VLOOKUP(B34,'Staff Survey'!B:L,11,FALSE),"-")</f>
        <v>5.2</v>
      </c>
      <c r="CJ34" s="271">
        <v>6.1</v>
      </c>
      <c r="CL34" s="119">
        <f>IFERROR(VLOOKUP(B34,'LfE . HR Ops . F2SU'!A:B,2,FALSE),0)</f>
        <v>115</v>
      </c>
      <c r="CM34" s="119">
        <f>IFERROR(VLOOKUP(B34,'Previous Dashboard'!B:CR,89,FALSE),0)</f>
        <v>92</v>
      </c>
      <c r="CN34" s="124"/>
      <c r="CO34" s="125"/>
      <c r="CP34" s="126"/>
      <c r="CQ34" s="126"/>
    </row>
    <row r="35" spans="1:95" ht="15" customHeight="1" x14ac:dyDescent="0.25">
      <c r="A35" s="651"/>
      <c r="B35" s="543" t="s">
        <v>57</v>
      </c>
      <c r="C35" s="310">
        <f>IFERROR(VLOOKUP(B35,'Staff In Post'!A:C,3,FALSE),0)</f>
        <v>276</v>
      </c>
      <c r="D35" s="246">
        <f>IFERROR(VLOOKUP(B35,'Mandatory Training'!A:C,3,FALSE),0)</f>
        <v>0.72064777327935226</v>
      </c>
      <c r="E35" s="24">
        <f>IFERROR(VLOOKUP(B35,'Previous Dashboard'!B:CR,3,FALSE),0)</f>
        <v>0.68442622950819676</v>
      </c>
      <c r="F35" s="63">
        <f>IF(D35&gt;=Benchmark!C$4,1,0)</f>
        <v>0</v>
      </c>
      <c r="G35" s="17">
        <f>IFERROR(VLOOKUP(B35,Appraisals!A:C,3,FALSE),0)</f>
        <v>0.91566265060240959</v>
      </c>
      <c r="H35" s="24">
        <f>IFERROR(VLOOKUP(B35,'Previous Dashboard'!B:CR,6,FALSE),0)</f>
        <v>0.92571428571428571</v>
      </c>
      <c r="I35" s="63">
        <f>IF(G35&gt;=Benchmark!E$4,1,0)</f>
        <v>1</v>
      </c>
      <c r="J35" s="59">
        <f t="shared" si="0"/>
        <v>0.81815521194088092</v>
      </c>
      <c r="K35" s="91">
        <f t="shared" si="1"/>
        <v>0.80507025761124118</v>
      </c>
      <c r="L35" s="63">
        <f>IF(J35&gt;=Benchmark!G$4,1,0)</f>
        <v>0</v>
      </c>
      <c r="M35" s="51">
        <f>IFERROR(VLOOKUP(B35,Stress!A:D,4,FALSE),"-")</f>
        <v>1.8019304770635999E-2</v>
      </c>
      <c r="N35" s="60">
        <f>IFERROR(VLOOKUP(B35,'Previous Dashboard'!B:CR,12,FALSE),0)</f>
        <v>1.8606898661267399E-2</v>
      </c>
      <c r="O35" s="52">
        <f>IFERROR(VLOOKUP(B35,'Musculo Skeletal'!A:D,4,FALSE),"-")</f>
        <v>9.5221214351050593E-3</v>
      </c>
      <c r="P35" s="43">
        <f>IFERROR(VLOOKUP(B35,'Previous Dashboard'!B:CR,14,FALSE),0)</f>
        <v>1.1349294903679899E-2</v>
      </c>
      <c r="Q35" s="52">
        <f>IFERROR(VLOOKUP(B35,'All Sickness'!A:D,4,FALSE),"-")</f>
        <v>7.15436057585489E-2</v>
      </c>
      <c r="R35" s="43">
        <f>IFERROR(VLOOKUP(B35,'Previous Dashboard'!B:CR,16,FALSE),0)</f>
        <v>7.8558626071133897E-2</v>
      </c>
      <c r="S35" s="63">
        <f>IF(Q35&lt;=Benchmark!K$4,1,0)</f>
        <v>0</v>
      </c>
      <c r="T35" s="44">
        <f>IFERROR(VLOOKUP(B35,LT.ST!A:C,3,FALSE),"-")</f>
        <v>3.55056145156269E-2</v>
      </c>
      <c r="U35" s="43">
        <f>IFERROR(VLOOKUP(B35,'Previous Dashboard'!B:CR,19,FALSE),0)</f>
        <v>3.7730957734187401E-2</v>
      </c>
      <c r="V35" s="42">
        <f>IFERROR(VLOOKUP(B35,Turnover!A:C,2,FALSE),0)</f>
        <v>4.0650406504064998E-2</v>
      </c>
      <c r="W35" s="60">
        <f>IFERROR(VLOOKUP(B35,'Previous Dashboard'!B:CR,21,FALSE),0)</f>
        <v>5.1282051282051301E-2</v>
      </c>
      <c r="X35" s="63">
        <f>IF(V35&lt;=Benchmark!N$4,1,0)</f>
        <v>1</v>
      </c>
      <c r="Y35" s="159">
        <f>IFERROR(VLOOKUP(B35,Leavers!A:I,6,FALSE),0)</f>
        <v>10</v>
      </c>
      <c r="Z35" s="247">
        <f t="shared" si="2"/>
        <v>1</v>
      </c>
      <c r="AA35" s="298">
        <f>IFERROR(VLOOKUP(B35,'Previous Dashboard'!B:CR,25,FALSE),0)</f>
        <v>1</v>
      </c>
      <c r="AB35" s="188">
        <f>IFERROR(VLOOKUP(VLOOKUP($B35,'Pulse Mapping'!$A:$C,3,FALSE),'Pulse Survey'!$A:$J,2,FALSE),0)</f>
        <v>38</v>
      </c>
      <c r="AC35" s="25">
        <f>IFERROR(VLOOKUP(B35,'Previous Dashboard'!B:CR,27,FALSE),0)</f>
        <v>35</v>
      </c>
      <c r="AD35" s="362">
        <f t="shared" si="3"/>
        <v>0.13768115942028986</v>
      </c>
      <c r="AE35" s="408">
        <f>IFERROR(VLOOKUP(B35,'Staff Engagement'!A:E,5,FALSE),0)</f>
        <v>6.1184210526315788</v>
      </c>
      <c r="AF35" s="409">
        <f>IFERROR(VLOOKUP(B35,'Previous Dashboard'!B:CQ,30,FALSE),0)</f>
        <v>6.833333333333333</v>
      </c>
      <c r="AG35" s="112">
        <f>IFERROR(VLOOKUP(B35,'Staff Engagement'!A:E,2,FALSE),0)</f>
        <v>5.6578947368421053</v>
      </c>
      <c r="AH35" s="409">
        <f>IFERROR(VLOOKUP(B35,'Previous Dashboard'!B:CQ,32,FALSE),0)</f>
        <v>6.7619047619047619</v>
      </c>
      <c r="AI35" s="112">
        <f>IFERROR(VLOOKUP(B35,'Staff Engagement'!A:E,3,FALSE),0)</f>
        <v>6.1184210526315788</v>
      </c>
      <c r="AJ35" s="409">
        <f>IFERROR(VLOOKUP(B35,'Previous Dashboard'!B:CQ,34,FALSE),0)</f>
        <v>6.7619047619047619</v>
      </c>
      <c r="AK35" s="112">
        <f>IFERROR(VLOOKUP(B35,'Staff Engagement'!A:E,4,FALSE),0)</f>
        <v>6.5789473684210522</v>
      </c>
      <c r="AL35" s="271">
        <f>IFERROR(VLOOKUP(B35,'Previous Dashboard'!B:CQ,36,FALSE),0)</f>
        <v>6.9761904761904763</v>
      </c>
      <c r="AM35" s="386">
        <f>IFERROR(VLOOKUP(B35,'Patient Experience'!A:K,9,FALSE),0)</f>
        <v>0.95886075949367089</v>
      </c>
      <c r="AN35" s="60">
        <f>IFERROR(VLOOKUP(VLOOKUP($B35,'Pulse Mapping'!$A:$C,3,FALSE),'Pulse Survey'!$A:$J,'Pulse Survey'!C$1,FALSE),0)</f>
        <v>0.42105263157894735</v>
      </c>
      <c r="AO35" s="63" cm="1">
        <f t="array" ref="AO35">_xlfn.IFS(AN35 = "-",0,AN35 &gt;=Benchmark!R$4,1,AN35&lt;Benchmark!R$4,0)</f>
        <v>0</v>
      </c>
      <c r="AP35" s="43">
        <f>IFERROR(VLOOKUP(B35,'Previous Dashboard'!B:CR,39,FALSE),0)</f>
        <v>0.65714285714285714</v>
      </c>
      <c r="AQ35" s="43">
        <f>IFERROR(VLOOKUP(VLOOKUP($B35,'Pulse Mapping'!$A:$C,3,FALSE),'Pulse Survey'!$A:$J,'Pulse Survey'!D$1,FALSE),0)</f>
        <v>0.5</v>
      </c>
      <c r="AR35" s="63" cm="1">
        <f t="array" ref="AR35">_xlfn.IFS(AQ35 = "-",0,AQ35 &gt;=Benchmark!T$4,1,AQ35&lt;Benchmark!T$4,0)</f>
        <v>0</v>
      </c>
      <c r="AS35" s="24">
        <f>IFERROR(VLOOKUP(B35,'Previous Dashboard'!B:CR,42,FALSE),0)</f>
        <v>0.6</v>
      </c>
      <c r="AT35" s="43">
        <f>IFERROR(VLOOKUP(VLOOKUP($B35,'Pulse Mapping'!$A:$C,3,FALSE),'Pulse Survey'!$A:$J,'Pulse Survey'!E$1,FALSE),0)</f>
        <v>0.57894736842105265</v>
      </c>
      <c r="AU35" s="63" cm="1">
        <f t="array" ref="AU35">_xlfn.IFS(AT35 = "-",0,AT35 &gt;=Benchmark!V$4,1,AT35&lt;Benchmark!V$4,0)</f>
        <v>0</v>
      </c>
      <c r="AV35" s="24">
        <f>IFERROR(VLOOKUP(B35,'Previous Dashboard'!B:CR,45,FALSE),0)</f>
        <v>0.51428571428571423</v>
      </c>
      <c r="AW35" s="43">
        <f>IFERROR(VLOOKUP(VLOOKUP($B35,'Pulse Mapping'!$A:$C,3,FALSE),'Pulse Survey'!$A:$J,'Pulse Survey'!F$1,FALSE),0)</f>
        <v>0.52631578947368418</v>
      </c>
      <c r="AX35" s="63" cm="1">
        <f t="array" ref="AX35">_xlfn.IFS(AW35 = "-",0,AW35 &gt;=Benchmark!X$4,1,AW35&lt;Benchmark!X$4,0)</f>
        <v>0</v>
      </c>
      <c r="AY35" s="24">
        <f>IFERROR(VLOOKUP(B35,'Previous Dashboard'!B:CR,48,FALSE),0)</f>
        <v>0.5714285714285714</v>
      </c>
      <c r="AZ35" s="43">
        <f>IFERROR(VLOOKUP(VLOOKUP($B35,'Pulse Mapping'!$A:$C,3,FALSE),'Pulse Survey'!$A:$J,'Pulse Survey'!G$1,FALSE),0)</f>
        <v>0.60526315789473695</v>
      </c>
      <c r="BA35" s="63" cm="1">
        <f t="array" ref="BA35">_xlfn.IFS(AZ35 = "-",0,AZ35 &gt;=Benchmark!Z$4,1,AZ35&lt;Benchmark!Z$4,0)</f>
        <v>0</v>
      </c>
      <c r="BB35" s="24">
        <f>IFERROR(VLOOKUP(B35,'Previous Dashboard'!B:CR,51,FALSE),0)</f>
        <v>0.91428571428571426</v>
      </c>
      <c r="BC35" s="43">
        <f>IFERROR(VLOOKUP(VLOOKUP($B35,'Pulse Mapping'!$A:$C,3,FALSE),'Pulse Survey'!$A:$J,'Pulse Survey'!H$1,FALSE),0)</f>
        <v>0.57894736842105265</v>
      </c>
      <c r="BD35" s="63" cm="1">
        <f t="array" ref="BD35">_xlfn.IFS(BC35 = "-",0,BC35 &gt;=Benchmark!AB$4,1,BC35&lt;Benchmark!AB$4,0)</f>
        <v>0</v>
      </c>
      <c r="BE35" s="24">
        <f>IFERROR(VLOOKUP(B35,'Previous Dashboard'!B:CR,54,FALSE),0)</f>
        <v>0.54285714285714282</v>
      </c>
      <c r="BF35" s="43">
        <f>IFERROR(VLOOKUP(VLOOKUP($B35,'Pulse Mapping'!$A:$C,3,FALSE),'Pulse Survey'!$A:$J,'Pulse Survey'!I$1,FALSE),0)</f>
        <v>0.71052631578947367</v>
      </c>
      <c r="BG35" s="63" cm="1">
        <f t="array" ref="BG35">_xlfn.IFS(BF35 = "-",0,BF35 &gt;=Benchmark!AD$4,1,BF35&lt;Benchmark!AD$4,0)</f>
        <v>1</v>
      </c>
      <c r="BH35" s="91">
        <f>IFERROR(VLOOKUP(B35,'Previous Dashboard'!B:CR,57,FALSE),0)</f>
        <v>0.65714285714285714</v>
      </c>
      <c r="BI35" s="44">
        <f>IFERROR(VLOOKUP(VLOOKUP($B35,'Pulse Mapping'!$A:$C,3,FALSE),'Pulse Survey'!$A:$J,'Pulse Survey'!J$1,FALSE),0)</f>
        <v>0.52631578947368418</v>
      </c>
      <c r="BJ35" s="63" cm="1">
        <f t="array" ref="BJ35">_xlfn.IFS(BI35 = "-",0,BI35 &gt;=Benchmark!AF$4,1,BI35&lt;Benchmark!AF$4,0)</f>
        <v>0</v>
      </c>
      <c r="BK35" s="145">
        <f>IFERROR(VLOOKUP(B35,'Previous Dashboard'!B:CR,60,FALSE),0)</f>
        <v>0.6</v>
      </c>
      <c r="BL35" s="224">
        <f t="shared" si="4"/>
        <v>1</v>
      </c>
      <c r="BM35" s="325">
        <f>IFERROR(VLOOKUP(B35,'Previous Dashboard'!B:CR,63,FALSE),0)</f>
        <v>1</v>
      </c>
      <c r="BN35" s="285">
        <f t="shared" si="5"/>
        <v>2</v>
      </c>
      <c r="BO35" s="190">
        <f>IFERROR(VLOOKUP(B35,'Previous Dashboard'!B:CR,65,FALSE),0)</f>
        <v>2</v>
      </c>
      <c r="BP35" s="25">
        <f>IFERROR(VLOOKUP(B35,'Previous Dashboard'!B:CR,66,FALSE),0)</f>
        <v>1</v>
      </c>
      <c r="BQ35" s="288">
        <f>IFERROR(VLOOKUP(B35,'Previous Dashboard'!B:CR,67,FALSE),0)</f>
        <v>2</v>
      </c>
      <c r="BR35" s="99"/>
      <c r="BS35" s="403">
        <f>IFERROR(VLOOKUP(B35,'Staff Survey'!B:L,3,FALSE),"-")</f>
        <v>7.6</v>
      </c>
      <c r="BT35" s="401" t="s">
        <v>389</v>
      </c>
      <c r="BU35" s="136">
        <f>IFERROR(VLOOKUP(B35,'Staff Survey'!B:L,4,FALSE),"-")</f>
        <v>6.3</v>
      </c>
      <c r="BV35" s="399" t="s">
        <v>389</v>
      </c>
      <c r="BW35" s="403">
        <f>IFERROR(VLOOKUP(B35,'Staff Survey'!B:L,5,FALSE),"-")</f>
        <v>7.1</v>
      </c>
      <c r="BX35" s="402" t="s">
        <v>389</v>
      </c>
      <c r="BY35" s="403">
        <f>IFERROR(VLOOKUP(B35,'Staff Survey'!B:L,6,FALSE),"-")</f>
        <v>5.9</v>
      </c>
      <c r="BZ35" s="402" t="s">
        <v>389</v>
      </c>
      <c r="CA35" s="403">
        <f>IFERROR(VLOOKUP(B35,'Staff Survey'!B:L,7,FALSE),"-")</f>
        <v>5.8</v>
      </c>
      <c r="CB35" s="428" t="s">
        <v>389</v>
      </c>
      <c r="CC35" s="403">
        <f>IFERROR(VLOOKUP(B35,'Staff Survey'!B:L,8,FALSE),"-")</f>
        <v>6.5</v>
      </c>
      <c r="CD35" s="428" t="s">
        <v>389</v>
      </c>
      <c r="CE35" s="403">
        <f>IFERROR(VLOOKUP(B35,'Staff Survey'!B:L,9,FALSE),"-")</f>
        <v>7</v>
      </c>
      <c r="CF35" s="428" t="s">
        <v>389</v>
      </c>
      <c r="CG35" s="140">
        <f>IFERROR(VLOOKUP(B35,'Staff Survey'!B:L,10,FALSE),"-")</f>
        <v>7.1</v>
      </c>
      <c r="CH35" s="277">
        <v>7.1</v>
      </c>
      <c r="CI35" s="412">
        <f>IFERROR(VLOOKUP(B35,'Staff Survey'!B:L,11,FALSE),"-")</f>
        <v>5.9</v>
      </c>
      <c r="CJ35" s="111">
        <v>6.2</v>
      </c>
      <c r="CL35" s="119">
        <f>IFERROR(VLOOKUP(B35,'LfE . HR Ops . F2SU'!A:B,2,FALSE),0)</f>
        <v>30</v>
      </c>
      <c r="CM35" s="119">
        <f>IFERROR(VLOOKUP(B35,'Previous Dashboard'!B:CR,89,FALSE),0)</f>
        <v>26</v>
      </c>
      <c r="CN35" s="124"/>
      <c r="CO35" s="125"/>
      <c r="CP35" s="126"/>
      <c r="CQ35" s="126"/>
    </row>
    <row r="36" spans="1:95" ht="15.75" thickBot="1" x14ac:dyDescent="0.3">
      <c r="A36" s="652"/>
      <c r="B36" s="543" t="s">
        <v>58</v>
      </c>
      <c r="C36" s="310">
        <f>IFERROR(VLOOKUP(B36,'Staff In Post'!A:C,3,FALSE),0)</f>
        <v>70</v>
      </c>
      <c r="D36" s="246">
        <f>IFERROR(VLOOKUP(B36,'Mandatory Training'!A:C,3,FALSE),0)</f>
        <v>0.5</v>
      </c>
      <c r="E36" s="24">
        <f>IFERROR(VLOOKUP(B36,'Previous Dashboard'!B:CR,3,FALSE),0)</f>
        <v>0.62068965517241381</v>
      </c>
      <c r="F36" s="272">
        <f>IF(D36&gt;=Benchmark!C$4,1,0)</f>
        <v>0</v>
      </c>
      <c r="G36" s="17">
        <f>IFERROR(VLOOKUP(B36,Appraisals!A:C,3,FALSE),0)</f>
        <v>0.81081081081081086</v>
      </c>
      <c r="H36" s="24">
        <f>IFERROR(VLOOKUP(B36,'Previous Dashboard'!B:CR,6,FALSE),0)</f>
        <v>0.88571428571428568</v>
      </c>
      <c r="I36" s="272">
        <f>IF(G36&gt;=Benchmark!E$4,1,0)</f>
        <v>0</v>
      </c>
      <c r="J36" s="273">
        <f t="shared" si="0"/>
        <v>0.65540540540540548</v>
      </c>
      <c r="K36" s="274">
        <f t="shared" si="1"/>
        <v>0.75320197044334969</v>
      </c>
      <c r="L36" s="247">
        <f>IF(J36&gt;=Benchmark!G$4,1,0)</f>
        <v>0</v>
      </c>
      <c r="M36" s="51">
        <f>IFERROR(VLOOKUP(B36,Stress!A:D,4,FALSE),"-")</f>
        <v>7.1353195961873003E-3</v>
      </c>
      <c r="N36" s="60">
        <f>IFERROR(VLOOKUP(B36,'Previous Dashboard'!B:CR,12,FALSE),0)</f>
        <v>1.0765468595550901E-2</v>
      </c>
      <c r="O36" s="52">
        <f>IFERROR(VLOOKUP(B36,'Musculo Skeletal'!A:D,4,FALSE),"-")</f>
        <v>1.7237852861735399E-4</v>
      </c>
      <c r="P36" s="43">
        <f>IFERROR(VLOOKUP(B36,'Previous Dashboard'!B:CR,14,FALSE),0)</f>
        <v>2.44669740807974E-3</v>
      </c>
      <c r="Q36" s="52">
        <f>IFERROR(VLOOKUP(B36,'All Sickness'!A:D,4,FALSE),"-")</f>
        <v>2.62003848612667E-2</v>
      </c>
      <c r="R36" s="43">
        <f>IFERROR(VLOOKUP(B36,'Previous Dashboard'!B:CR,16,FALSE),0)</f>
        <v>3.9028787308672999E-2</v>
      </c>
      <c r="S36" s="63">
        <f>IF(Q36&lt;=Benchmark!K$4,1,0)</f>
        <v>1</v>
      </c>
      <c r="T36" s="44">
        <f>IFERROR(VLOOKUP(B36,LT.ST!A:C,3,FALSE),"-")</f>
        <v>1.6548338747266E-3</v>
      </c>
      <c r="U36" s="43">
        <f>IFERROR(VLOOKUP(B36,'Previous Dashboard'!B:CR,19,FALSE),0)</f>
        <v>9.54211989151099E-3</v>
      </c>
      <c r="V36" s="42">
        <f>IFERROR(VLOOKUP(B36,Turnover!A:C,2,FALSE),0)</f>
        <v>3.7383177570093497E-2</v>
      </c>
      <c r="W36" s="60">
        <f>IFERROR(VLOOKUP(B36,'Previous Dashboard'!B:CR,21,FALSE),0)</f>
        <v>3.7037037037037E-2</v>
      </c>
      <c r="X36" s="63">
        <f>IF(V36&lt;=Benchmark!N$4,1,0)</f>
        <v>1</v>
      </c>
      <c r="Y36" s="159">
        <f>IFERROR(VLOOKUP(B36,Leavers!A:I,6,FALSE),0)</f>
        <v>2</v>
      </c>
      <c r="Z36" s="247">
        <f t="shared" si="2"/>
        <v>2</v>
      </c>
      <c r="AA36" s="298">
        <f>IFERROR(VLOOKUP(B36,'Previous Dashboard'!B:CR,25,FALSE),0)</f>
        <v>2</v>
      </c>
      <c r="AB36" s="188">
        <f>IFERROR(VLOOKUP(VLOOKUP($B36,'Pulse Mapping'!$A:$C,3,FALSE),'Pulse Survey'!$A:$J,2,FALSE),0)</f>
        <v>10</v>
      </c>
      <c r="AC36" s="25">
        <f>IFERROR(VLOOKUP(B36,'Previous Dashboard'!B:CR,27,FALSE),0)</f>
        <v>10</v>
      </c>
      <c r="AD36" s="362">
        <f t="shared" si="3"/>
        <v>0.14285714285714285</v>
      </c>
      <c r="AE36" s="408">
        <f>IFERROR(VLOOKUP(B36,'Staff Engagement'!A:E,5,FALSE),0)</f>
        <v>6.8611111111111107</v>
      </c>
      <c r="AF36" s="409">
        <f>IFERROR(VLOOKUP(B36,'Previous Dashboard'!B:CQ,30,FALSE),0)</f>
        <v>6.4444444444444446</v>
      </c>
      <c r="AG36" s="112">
        <f>IFERROR(VLOOKUP(B36,'Staff Engagement'!A:E,2,FALSE),0)</f>
        <v>6.75</v>
      </c>
      <c r="AH36" s="409">
        <f>IFERROR(VLOOKUP(B36,'Previous Dashboard'!B:CQ,32,FALSE),0)</f>
        <v>6.5</v>
      </c>
      <c r="AI36" s="112">
        <f>IFERROR(VLOOKUP(B36,'Staff Engagement'!A:E,3,FALSE),0)</f>
        <v>6.416666666666667</v>
      </c>
      <c r="AJ36" s="409">
        <f>IFERROR(VLOOKUP(B36,'Previous Dashboard'!B:CQ,34,FALSE),0)</f>
        <v>5.916666666666667</v>
      </c>
      <c r="AK36" s="112">
        <f>IFERROR(VLOOKUP(B36,'Staff Engagement'!A:E,4,FALSE),0)</f>
        <v>7.416666666666667</v>
      </c>
      <c r="AL36" s="271">
        <f>IFERROR(VLOOKUP(B36,'Previous Dashboard'!B:CQ,36,FALSE),0)</f>
        <v>6.916666666666667</v>
      </c>
      <c r="AM36" s="386">
        <f>IFERROR(VLOOKUP(B36,'Patient Experience'!A:K,9,FALSE),0)</f>
        <v>0</v>
      </c>
      <c r="AN36" s="60">
        <f>IFERROR(VLOOKUP(VLOOKUP($B36,'Pulse Mapping'!$A:$C,3,FALSE),'Pulse Survey'!$A:$J,'Pulse Survey'!C$1,FALSE),0)</f>
        <v>0.8</v>
      </c>
      <c r="AO36" s="63" cm="1">
        <f t="array" ref="AO36">_xlfn.IFS(AN36 = "-",0,AN36 &gt;=Benchmark!R$4,1,AN36&lt;Benchmark!R$4,0)</f>
        <v>1</v>
      </c>
      <c r="AP36" s="43">
        <f>IFERROR(VLOOKUP(B36,'Previous Dashboard'!B:CR,39,FALSE),0)</f>
        <v>0.6</v>
      </c>
      <c r="AQ36" s="43">
        <f>IFERROR(VLOOKUP(VLOOKUP($B36,'Pulse Mapping'!$A:$C,3,FALSE),'Pulse Survey'!$A:$J,'Pulse Survey'!D$1,FALSE),0)</f>
        <v>0.8</v>
      </c>
      <c r="AR36" s="63" cm="1">
        <f t="array" ref="AR36">_xlfn.IFS(AQ36 = "-",0,AQ36 &gt;=Benchmark!T$4,1,AQ36&lt;Benchmark!T$4,0)</f>
        <v>1</v>
      </c>
      <c r="AS36" s="24">
        <f>IFERROR(VLOOKUP(B36,'Previous Dashboard'!B:CR,42,FALSE),0)</f>
        <v>0.6</v>
      </c>
      <c r="AT36" s="43">
        <f>IFERROR(VLOOKUP(VLOOKUP($B36,'Pulse Mapping'!$A:$C,3,FALSE),'Pulse Survey'!$A:$J,'Pulse Survey'!E$1,FALSE),0)</f>
        <v>0.6</v>
      </c>
      <c r="AU36" s="63" cm="1">
        <f t="array" ref="AU36">_xlfn.IFS(AT36 = "-",0,AT36 &gt;=Benchmark!V$4,1,AT36&lt;Benchmark!V$4,0)</f>
        <v>0</v>
      </c>
      <c r="AV36" s="24">
        <f>IFERROR(VLOOKUP(B36,'Previous Dashboard'!B:CR,45,FALSE),0)</f>
        <v>0.5</v>
      </c>
      <c r="AW36" s="43">
        <f>IFERROR(VLOOKUP(VLOOKUP($B36,'Pulse Mapping'!$A:$C,3,FALSE),'Pulse Survey'!$A:$J,'Pulse Survey'!F$1,FALSE),0)</f>
        <v>0.6</v>
      </c>
      <c r="AX36" s="63" cm="1">
        <f t="array" ref="AX36">_xlfn.IFS(AW36 = "-",0,AW36 &gt;=Benchmark!X$4,1,AW36&lt;Benchmark!X$4,0)</f>
        <v>0</v>
      </c>
      <c r="AY36" s="24">
        <f>IFERROR(VLOOKUP(B36,'Previous Dashboard'!B:CR,48,FALSE),0)</f>
        <v>0.6</v>
      </c>
      <c r="AZ36" s="43">
        <f>IFERROR(VLOOKUP(VLOOKUP($B36,'Pulse Mapping'!$A:$C,3,FALSE),'Pulse Survey'!$A:$J,'Pulse Survey'!G$1,FALSE),0)</f>
        <v>0.8</v>
      </c>
      <c r="BA36" s="63" cm="1">
        <f t="array" ref="BA36">_xlfn.IFS(AZ36 = "-",0,AZ36 &gt;=Benchmark!Z$4,1,AZ36&lt;Benchmark!Z$4,0)</f>
        <v>1</v>
      </c>
      <c r="BB36" s="24">
        <f>IFERROR(VLOOKUP(B36,'Previous Dashboard'!B:CR,51,FALSE),0)</f>
        <v>0.7</v>
      </c>
      <c r="BC36" s="43">
        <f>IFERROR(VLOOKUP(VLOOKUP($B36,'Pulse Mapping'!$A:$C,3,FALSE),'Pulse Survey'!$A:$J,'Pulse Survey'!H$1,FALSE),0)</f>
        <v>0.7</v>
      </c>
      <c r="BD36" s="63" cm="1">
        <f t="array" ref="BD36">_xlfn.IFS(BC36 = "-",0,BC36 &gt;=Benchmark!AB$4,1,BC36&lt;Benchmark!AB$4,0)</f>
        <v>1</v>
      </c>
      <c r="BE36" s="24">
        <f>IFERROR(VLOOKUP(B36,'Previous Dashboard'!B:CR,54,FALSE),0)</f>
        <v>0.4</v>
      </c>
      <c r="BF36" s="43">
        <f>IFERROR(VLOOKUP(VLOOKUP($B36,'Pulse Mapping'!$A:$C,3,FALSE),'Pulse Survey'!$A:$J,'Pulse Survey'!I$1,FALSE),0)</f>
        <v>0.79999999999999993</v>
      </c>
      <c r="BG36" s="63" cm="1">
        <f t="array" ref="BG36">_xlfn.IFS(BF36 = "-",0,BF36 &gt;=Benchmark!AD$4,1,BF36&lt;Benchmark!AD$4,0)</f>
        <v>1</v>
      </c>
      <c r="BH36" s="91">
        <f>IFERROR(VLOOKUP(B36,'Previous Dashboard'!B:CR,57,FALSE),0)</f>
        <v>0.7</v>
      </c>
      <c r="BI36" s="153">
        <f>IFERROR(VLOOKUP(VLOOKUP($B36,'Pulse Mapping'!$A:$C,3,FALSE),'Pulse Survey'!$A:$J,'Pulse Survey'!J$1,FALSE),0)</f>
        <v>0.6</v>
      </c>
      <c r="BJ36" s="63" cm="1">
        <f t="array" ref="BJ36">_xlfn.IFS(BI36 = "-",0,BI36 &gt;=Benchmark!AF$4,1,BI36&lt;Benchmark!AF$4,0)</f>
        <v>0</v>
      </c>
      <c r="BK36" s="145">
        <f>IFERROR(VLOOKUP(B36,'Previous Dashboard'!B:CR,60,FALSE),0)</f>
        <v>0.3</v>
      </c>
      <c r="BL36" s="224">
        <f t="shared" si="4"/>
        <v>5</v>
      </c>
      <c r="BM36" s="325">
        <f>IFERROR(VLOOKUP(B36,'Previous Dashboard'!B:CR,63,FALSE),0)</f>
        <v>2</v>
      </c>
      <c r="BN36" s="285">
        <f t="shared" si="5"/>
        <v>7</v>
      </c>
      <c r="BO36" s="190">
        <f>IFERROR(VLOOKUP(B36,'Previous Dashboard'!B:CR,65,FALSE),0)</f>
        <v>4</v>
      </c>
      <c r="BP36" s="25">
        <f>IFERROR(VLOOKUP(B36,'Previous Dashboard'!B:CR,66,FALSE),0)</f>
        <v>1</v>
      </c>
      <c r="BQ36" s="288">
        <f>IFERROR(VLOOKUP(B36,'Previous Dashboard'!B:CR,67,FALSE),0)</f>
        <v>4</v>
      </c>
      <c r="BR36" s="99"/>
      <c r="BS36" s="403">
        <f>IFERROR(VLOOKUP(B36,'Staff Survey'!B:L,3,FALSE),"-")</f>
        <v>6.9</v>
      </c>
      <c r="BT36" s="401" t="s">
        <v>389</v>
      </c>
      <c r="BU36" s="136">
        <f>IFERROR(VLOOKUP(B36,'Staff Survey'!B:L,4,FALSE),"-")</f>
        <v>5.3</v>
      </c>
      <c r="BV36" s="399" t="s">
        <v>389</v>
      </c>
      <c r="BW36" s="403">
        <f>IFERROR(VLOOKUP(B36,'Staff Survey'!B:L,5,FALSE),"-")</f>
        <v>6.4</v>
      </c>
      <c r="BX36" s="402" t="s">
        <v>389</v>
      </c>
      <c r="BY36" s="403">
        <f>IFERROR(VLOOKUP(B36,'Staff Survey'!B:L,6,FALSE),"-")</f>
        <v>5.3</v>
      </c>
      <c r="BZ36" s="402" t="s">
        <v>389</v>
      </c>
      <c r="CA36" s="403">
        <f>IFERROR(VLOOKUP(B36,'Staff Survey'!B:L,7,FALSE),"-")</f>
        <v>5.0999999999999996</v>
      </c>
      <c r="CB36" s="428" t="s">
        <v>389</v>
      </c>
      <c r="CC36" s="403">
        <f>IFERROR(VLOOKUP(B36,'Staff Survey'!B:L,8,FALSE),"-")</f>
        <v>5.7</v>
      </c>
      <c r="CD36" s="428" t="s">
        <v>389</v>
      </c>
      <c r="CE36" s="403">
        <f>IFERROR(VLOOKUP(B36,'Staff Survey'!B:L,9,FALSE),"-")</f>
        <v>6.3</v>
      </c>
      <c r="CF36" s="428" t="s">
        <v>389</v>
      </c>
      <c r="CG36" s="140">
        <f>IFERROR(VLOOKUP(B36,'Staff Survey'!B:L,10,FALSE),"-")</f>
        <v>6.5</v>
      </c>
      <c r="CH36" s="277">
        <v>7</v>
      </c>
      <c r="CI36" s="412">
        <f>IFERROR(VLOOKUP(B36,'Staff Survey'!B:L,11,FALSE),"-")</f>
        <v>5.2</v>
      </c>
      <c r="CJ36" s="111">
        <v>6</v>
      </c>
      <c r="CK36" s="99"/>
      <c r="CL36" s="119">
        <f>IFERROR(VLOOKUP(B36,'LfE . HR Ops . F2SU'!A:B,2,FALSE),0)</f>
        <v>5</v>
      </c>
      <c r="CM36" s="119">
        <f>IFERROR(VLOOKUP(B36,'Previous Dashboard'!B:CR,89,FALSE),0)</f>
        <v>9</v>
      </c>
      <c r="CN36" s="124"/>
      <c r="CO36" s="125"/>
      <c r="CP36" s="126"/>
      <c r="CQ36" s="128"/>
    </row>
    <row r="37" spans="1:95" ht="15" customHeight="1" x14ac:dyDescent="0.25">
      <c r="A37" s="653" t="s">
        <v>296</v>
      </c>
      <c r="B37" s="542" t="s">
        <v>62</v>
      </c>
      <c r="C37" s="310">
        <f>IFERROR(VLOOKUP(B37,'Staff In Post'!A:C,3,FALSE),0)</f>
        <v>177</v>
      </c>
      <c r="D37" s="244">
        <f>IFERROR(VLOOKUP(B37,'Mandatory Training'!A:C,3,FALSE),0)</f>
        <v>0.58666666666666667</v>
      </c>
      <c r="E37" s="24">
        <f>IFERROR(VLOOKUP(B37,'Previous Dashboard'!B:CR,3,FALSE),0)</f>
        <v>0.58108108108108103</v>
      </c>
      <c r="F37" s="63">
        <f>IF(D37&gt;=Benchmark!C$4,1,0)</f>
        <v>0</v>
      </c>
      <c r="G37" s="24">
        <f>IFERROR(VLOOKUP(B37,Appraisals!A:C,3,FALSE),0)</f>
        <v>0.8990825688073395</v>
      </c>
      <c r="H37" s="24">
        <f>IFERROR(VLOOKUP(B37,'Previous Dashboard'!B:CR,6,FALSE),0)</f>
        <v>0.88181818181818183</v>
      </c>
      <c r="I37" s="63">
        <f>IF(G37&gt;=Benchmark!E$4,1,0)</f>
        <v>0</v>
      </c>
      <c r="J37" s="59">
        <f t="shared" ref="J37:J62" si="6">AVERAGE(D37,G37)</f>
        <v>0.74287461773700314</v>
      </c>
      <c r="K37" s="91">
        <f t="shared" ref="K37:K62" si="7">AVERAGE(E37, H37)</f>
        <v>0.73144963144963149</v>
      </c>
      <c r="L37" s="63">
        <f>IF(J37&gt;=Benchmark!G$4,1,0)</f>
        <v>0</v>
      </c>
      <c r="M37" s="42">
        <f>IFERROR(VLOOKUP(B37,Stress!A:D,4,FALSE),"-")</f>
        <v>1.92959795505307E-3</v>
      </c>
      <c r="N37" s="60">
        <f>IFERROR(VLOOKUP(B37,'Previous Dashboard'!B:CR,12,FALSE),0)</f>
        <v>1.36839225126755E-2</v>
      </c>
      <c r="O37" s="43">
        <f>IFERROR(VLOOKUP(B37,'Musculo Skeletal'!A:D,4,FALSE),"-")</f>
        <v>4.78348939555748E-4</v>
      </c>
      <c r="P37" s="43">
        <f>IFERROR(VLOOKUP(B37,'Previous Dashboard'!B:CR,14,FALSE),0)</f>
        <v>4.4903157822788996E-3</v>
      </c>
      <c r="Q37" s="43">
        <f>IFERROR(VLOOKUP(B37,'All Sickness'!A:D,4,FALSE),"-")</f>
        <v>5.0456292340361697E-2</v>
      </c>
      <c r="R37" s="43">
        <f>IFERROR(VLOOKUP(B37,'Previous Dashboard'!B:CR,16,FALSE),0)</f>
        <v>6.6292762269045596E-2</v>
      </c>
      <c r="S37" s="63">
        <f>IF(Q37&lt;=Benchmark!K$4,1,0)</f>
        <v>0</v>
      </c>
      <c r="T37" s="44">
        <f>IFERROR(VLOOKUP(B37,LT.ST!A:C,3,FALSE),"-")</f>
        <v>1.5610680501872001E-2</v>
      </c>
      <c r="U37" s="43">
        <f>IFERROR(VLOOKUP(B37,'Previous Dashboard'!B:CR,19,FALSE),0)</f>
        <v>2.8783428428644599E-2</v>
      </c>
      <c r="V37" s="42">
        <f>IFERROR(VLOOKUP(B37,Turnover!A:C,2,FALSE),0)</f>
        <v>3.2362459546925598E-2</v>
      </c>
      <c r="W37" s="60">
        <f>IFERROR(VLOOKUP(B37,'Previous Dashboard'!B:CR,21,FALSE),0)</f>
        <v>1.9672131147540999E-2</v>
      </c>
      <c r="X37" s="63">
        <f>IF(V37&lt;=Benchmark!N$4,1,0)</f>
        <v>1</v>
      </c>
      <c r="Y37" s="159">
        <f>IFERROR(VLOOKUP(B37,Leavers!A:I,6,FALSE),0)</f>
        <v>5</v>
      </c>
      <c r="Z37" s="245">
        <f t="shared" ref="Z37:Z62" si="8">SUM(L37, S37, X37)</f>
        <v>1</v>
      </c>
      <c r="AA37" s="298">
        <f>IFERROR(VLOOKUP(B37,'Previous Dashboard'!B:CR,25,FALSE),0)</f>
        <v>1</v>
      </c>
      <c r="AB37" s="190">
        <f>IFERROR(VLOOKUP(VLOOKUP($B37,'Pulse Mapping'!$A:$C,3,FALSE),'Pulse Survey'!$A:$J,2,FALSE),0)</f>
        <v>24</v>
      </c>
      <c r="AC37" s="25">
        <f>IFERROR(VLOOKUP(B37,'Previous Dashboard'!B:CR,27,FALSE),0)</f>
        <v>17</v>
      </c>
      <c r="AD37" s="361">
        <f t="shared" ref="AD37:AD62" si="9" xml:space="preserve"> AB37/C37</f>
        <v>0.13559322033898305</v>
      </c>
      <c r="AE37" s="408">
        <f>IFERROR(VLOOKUP(B37,'Staff Engagement'!A:E,5,FALSE),0)</f>
        <v>7.1527777777777777</v>
      </c>
      <c r="AF37" s="409">
        <f>IFERROR(VLOOKUP(B37,'Previous Dashboard'!B:CQ,30,FALSE),0)</f>
        <v>7.1568627450980395</v>
      </c>
      <c r="AG37" s="112">
        <f>IFERROR(VLOOKUP(B37,'Staff Engagement'!A:E,2,FALSE),0)</f>
        <v>7.083333333333333</v>
      </c>
      <c r="AH37" s="409">
        <f>IFERROR(VLOOKUP(B37,'Previous Dashboard'!B:CQ,32,FALSE),0)</f>
        <v>7.2549019607843137</v>
      </c>
      <c r="AI37" s="112">
        <f>IFERROR(VLOOKUP(B37,'Staff Engagement'!A:E,3,FALSE),0)</f>
        <v>6.666666666666667</v>
      </c>
      <c r="AJ37" s="409">
        <f>IFERROR(VLOOKUP(B37,'Previous Dashboard'!B:CQ,34,FALSE),0)</f>
        <v>7.0098039215686274</v>
      </c>
      <c r="AK37" s="112">
        <f>IFERROR(VLOOKUP(B37,'Staff Engagement'!A:E,4,FALSE),0)</f>
        <v>7.708333333333333</v>
      </c>
      <c r="AL37" s="271">
        <f>IFERROR(VLOOKUP(B37,'Previous Dashboard'!B:CQ,36,FALSE),0)</f>
        <v>7.2058823529411766</v>
      </c>
      <c r="AM37" s="386">
        <f>IFERROR(VLOOKUP(B37,'Patient Experience'!A:K,9,FALSE),0)</f>
        <v>0.95035460992907805</v>
      </c>
      <c r="AN37" s="60">
        <f>IFERROR(VLOOKUP(VLOOKUP($B37,'Pulse Mapping'!$A:$C,3,FALSE),'Pulse Survey'!$A:$J,'Pulse Survey'!C$1,FALSE),0)</f>
        <v>0.54166666666666663</v>
      </c>
      <c r="AO37" s="63" cm="1">
        <f t="array" ref="AO37">_xlfn.IFS(AN37 = "-",0,AN37 &gt;=Benchmark!R$4,1,AN37&lt;Benchmark!R$4,0)</f>
        <v>0</v>
      </c>
      <c r="AP37" s="43">
        <f>IFERROR(VLOOKUP(B37,'Previous Dashboard'!B:CR,39,FALSE),0)</f>
        <v>0.6470588235294118</v>
      </c>
      <c r="AQ37" s="43">
        <f>IFERROR(VLOOKUP(VLOOKUP($B37,'Pulse Mapping'!$A:$C,3,FALSE),'Pulse Survey'!$A:$J,'Pulse Survey'!D$1,FALSE),0)</f>
        <v>0.79166666666666663</v>
      </c>
      <c r="AR37" s="63" cm="1">
        <f t="array" ref="AR37">_xlfn.IFS(AQ37 = "-",0,AQ37 &gt;=Benchmark!T$4,1,AQ37&lt;Benchmark!T$4,0)</f>
        <v>1</v>
      </c>
      <c r="AS37" s="24">
        <f>IFERROR(VLOOKUP(B37,'Previous Dashboard'!B:CR,42,FALSE),0)</f>
        <v>0.70588235294117652</v>
      </c>
      <c r="AT37" s="43">
        <f>IFERROR(VLOOKUP(VLOOKUP($B37,'Pulse Mapping'!$A:$C,3,FALSE),'Pulse Survey'!$A:$J,'Pulse Survey'!E$1,FALSE),0)</f>
        <v>0.45833333333333331</v>
      </c>
      <c r="AU37" s="63" cm="1">
        <f t="array" ref="AU37">_xlfn.IFS(AT37 = "-",0,AT37 &gt;=Benchmark!V$4,1,AT37&lt;Benchmark!V$4,0)</f>
        <v>0</v>
      </c>
      <c r="AV37" s="24">
        <f>IFERROR(VLOOKUP(B37,'Previous Dashboard'!B:CR,45,FALSE),0)</f>
        <v>0.41176470588235298</v>
      </c>
      <c r="AW37" s="43">
        <f>IFERROR(VLOOKUP(VLOOKUP($B37,'Pulse Mapping'!$A:$C,3,FALSE),'Pulse Survey'!$A:$J,'Pulse Survey'!F$1,FALSE),0)</f>
        <v>0.66666666666666663</v>
      </c>
      <c r="AX37" s="63" cm="1">
        <f t="array" ref="AX37">_xlfn.IFS(AW37 = "-",0,AW37 &gt;=Benchmark!X$4,1,AW37&lt;Benchmark!X$4,0)</f>
        <v>0</v>
      </c>
      <c r="AY37" s="24">
        <f>IFERROR(VLOOKUP(B37,'Previous Dashboard'!B:CR,48,FALSE),0)</f>
        <v>0.70588235294117641</v>
      </c>
      <c r="AZ37" s="43">
        <f>IFERROR(VLOOKUP(VLOOKUP($B37,'Pulse Mapping'!$A:$C,3,FALSE),'Pulse Survey'!$A:$J,'Pulse Survey'!G$1,FALSE),0)</f>
        <v>0.75</v>
      </c>
      <c r="BA37" s="63" cm="1">
        <f t="array" ref="BA37">_xlfn.IFS(AZ37 = "-",0,AZ37 &gt;=Benchmark!Z$4,1,AZ37&lt;Benchmark!Z$4,0)</f>
        <v>1</v>
      </c>
      <c r="BB37" s="24">
        <f>IFERROR(VLOOKUP(B37,'Previous Dashboard'!B:CR,51,FALSE),0)</f>
        <v>0.82352941176470584</v>
      </c>
      <c r="BC37" s="43">
        <f>IFERROR(VLOOKUP(VLOOKUP($B37,'Pulse Mapping'!$A:$C,3,FALSE),'Pulse Survey'!$A:$J,'Pulse Survey'!H$1,FALSE),0)</f>
        <v>0.58333333333333326</v>
      </c>
      <c r="BD37" s="63" cm="1">
        <f t="array" ref="BD37">_xlfn.IFS(BC37 = "-",0,BC37 &gt;=Benchmark!AB$4,1,BC37&lt;Benchmark!AB$4,0)</f>
        <v>0</v>
      </c>
      <c r="BE37" s="24">
        <f>IFERROR(VLOOKUP(B37,'Previous Dashboard'!B:CR,54,FALSE),0)</f>
        <v>0.6470588235294118</v>
      </c>
      <c r="BF37" s="43">
        <f>IFERROR(VLOOKUP(VLOOKUP($B37,'Pulse Mapping'!$A:$C,3,FALSE),'Pulse Survey'!$A:$J,'Pulse Survey'!I$1,FALSE),0)</f>
        <v>0.79166666666666674</v>
      </c>
      <c r="BG37" s="63" cm="1">
        <f t="array" ref="BG37">_xlfn.IFS(BF37 = "-",0,BF37 &gt;=Benchmark!AD$4,1,BF37&lt;Benchmark!AD$4,0)</f>
        <v>1</v>
      </c>
      <c r="BH37" s="91">
        <f>IFERROR(VLOOKUP(B37,'Previous Dashboard'!B:CR,57,FALSE),0)</f>
        <v>0.76470588235294124</v>
      </c>
      <c r="BI37" s="44">
        <f>IFERROR(VLOOKUP(VLOOKUP($B37,'Pulse Mapping'!$A:$C,3,FALSE),'Pulse Survey'!$A:$J,'Pulse Survey'!J$1,FALSE),0)</f>
        <v>0.625</v>
      </c>
      <c r="BJ37" s="63" cm="1">
        <f t="array" ref="BJ37">_xlfn.IFS(BI37 = "-",0,BI37 &gt;=Benchmark!AF$4,1,BI37&lt;Benchmark!AF$4,0)</f>
        <v>0</v>
      </c>
      <c r="BK37" s="145">
        <f>IFERROR(VLOOKUP(B37,'Previous Dashboard'!B:CR,60,FALSE),0)</f>
        <v>0.58823529411764708</v>
      </c>
      <c r="BL37" s="191">
        <f t="shared" ref="BL37:BL62" si="10">SUM(AO37, AR37, AU37, AX37, BA37, BD37, BG37, BJ37)</f>
        <v>3</v>
      </c>
      <c r="BM37" s="325">
        <f>IFERROR(VLOOKUP(B37,'Previous Dashboard'!B:CR,63,FALSE),0)</f>
        <v>4</v>
      </c>
      <c r="BN37" s="285">
        <f t="shared" si="5"/>
        <v>4</v>
      </c>
      <c r="BO37" s="190">
        <f>IFERROR(VLOOKUP(B37,'Previous Dashboard'!B:CR,65,FALSE),0)</f>
        <v>5</v>
      </c>
      <c r="BP37" s="25">
        <f>IFERROR(VLOOKUP(B37,'Previous Dashboard'!B:CR,66,FALSE),0)</f>
        <v>1</v>
      </c>
      <c r="BQ37" s="288">
        <f>IFERROR(VLOOKUP(B37,'Previous Dashboard'!B:CR,67,FALSE),0)</f>
        <v>4</v>
      </c>
      <c r="BR37" s="99"/>
      <c r="BS37" s="403">
        <f>IFERROR(VLOOKUP(B37,'Staff Survey'!B:L,3,FALSE),"-")</f>
        <v>7.4</v>
      </c>
      <c r="BT37" s="401" t="s">
        <v>389</v>
      </c>
      <c r="BU37" s="136">
        <f>IFERROR(VLOOKUP(B37,'Staff Survey'!B:L,4,FALSE),"-")</f>
        <v>6.1</v>
      </c>
      <c r="BV37" s="399" t="s">
        <v>389</v>
      </c>
      <c r="BW37" s="403">
        <f>IFERROR(VLOOKUP(B37,'Staff Survey'!B:L,5,FALSE),"-")</f>
        <v>6.8</v>
      </c>
      <c r="BX37" s="402" t="s">
        <v>389</v>
      </c>
      <c r="BY37" s="403">
        <f>IFERROR(VLOOKUP(B37,'Staff Survey'!B:L,6,FALSE),"-")</f>
        <v>5.9</v>
      </c>
      <c r="BZ37" s="402" t="s">
        <v>389</v>
      </c>
      <c r="CA37" s="403">
        <f>IFERROR(VLOOKUP(B37,'Staff Survey'!B:L,7,FALSE),"-")</f>
        <v>5.6</v>
      </c>
      <c r="CB37" s="428" t="s">
        <v>389</v>
      </c>
      <c r="CC37" s="403">
        <f>IFERROR(VLOOKUP(B37,'Staff Survey'!B:L,8,FALSE),"-")</f>
        <v>6</v>
      </c>
      <c r="CD37" s="428" t="s">
        <v>389</v>
      </c>
      <c r="CE37" s="403">
        <f>IFERROR(VLOOKUP(B37,'Staff Survey'!B:L,9,FALSE),"-")</f>
        <v>6.6</v>
      </c>
      <c r="CF37" s="428" t="s">
        <v>389</v>
      </c>
      <c r="CG37" s="140">
        <f>IFERROR(VLOOKUP(B37,'Staff Survey'!B:L,10,FALSE),"-")</f>
        <v>6.8</v>
      </c>
      <c r="CH37" s="409">
        <v>7.2</v>
      </c>
      <c r="CI37" s="412">
        <f>IFERROR(VLOOKUP(B37,'Staff Survey'!B:L,11,FALSE),"-")</f>
        <v>5.7</v>
      </c>
      <c r="CJ37" s="271">
        <v>6.8</v>
      </c>
      <c r="CL37" s="119">
        <f>IFERROR(VLOOKUP(B37,'LfE . HR Ops . F2SU'!A:B,2,FALSE),0)</f>
        <v>22</v>
      </c>
      <c r="CM37" s="119">
        <f>IFERROR(VLOOKUP(B37,'Previous Dashboard'!B:CR,89,FALSE),0)</f>
        <v>17</v>
      </c>
      <c r="CN37" s="120"/>
      <c r="CO37" s="121"/>
      <c r="CP37" s="122"/>
      <c r="CQ37" s="126"/>
    </row>
    <row r="38" spans="1:95" x14ac:dyDescent="0.25">
      <c r="A38" s="654"/>
      <c r="B38" s="543" t="s">
        <v>63</v>
      </c>
      <c r="C38" s="310">
        <f>IFERROR(VLOOKUP(B38,'Staff In Post'!A:C,3,FALSE),0)</f>
        <v>46</v>
      </c>
      <c r="D38" s="246">
        <f>IFERROR(VLOOKUP(B38,'Mandatory Training'!A:C,3,FALSE),0)</f>
        <v>0.8</v>
      </c>
      <c r="E38" s="24">
        <f>IFERROR(VLOOKUP(B38,'Previous Dashboard'!B:CR,3,FALSE),0)</f>
        <v>0.8</v>
      </c>
      <c r="F38" s="63">
        <f>IF(D38&gt;=Benchmark!C$4,1,0)</f>
        <v>0</v>
      </c>
      <c r="G38" s="17">
        <f>IFERROR(VLOOKUP(B38,Appraisals!A:C,3,FALSE),0)</f>
        <v>0.67647058823529416</v>
      </c>
      <c r="H38" s="24">
        <f>IFERROR(VLOOKUP(B38,'Previous Dashboard'!B:CR,6,FALSE),0)</f>
        <v>0.8928571428571429</v>
      </c>
      <c r="I38" s="63">
        <f>IF(G38&gt;=Benchmark!E$4,1,0)</f>
        <v>0</v>
      </c>
      <c r="J38" s="59">
        <f t="shared" si="6"/>
        <v>0.7382352941176471</v>
      </c>
      <c r="K38" s="91">
        <f t="shared" si="7"/>
        <v>0.84642857142857153</v>
      </c>
      <c r="L38" s="63">
        <f>IF(J38&gt;=Benchmark!G$4,1,0)</f>
        <v>0</v>
      </c>
      <c r="M38" s="51">
        <f>IFERROR(VLOOKUP(B38,Stress!A:D,4,FALSE),"-")</f>
        <v>1.30632024023074E-2</v>
      </c>
      <c r="N38" s="60">
        <f>IFERROR(VLOOKUP(B38,'Previous Dashboard'!B:CR,12,FALSE),0)</f>
        <v>1.41314550913412E-2</v>
      </c>
      <c r="O38" s="52">
        <f>IFERROR(VLOOKUP(B38,'Musculo Skeletal'!A:D,4,FALSE),"-")</f>
        <v>1.5239264685093099E-2</v>
      </c>
      <c r="P38" s="43">
        <f>IFERROR(VLOOKUP(B38,'Previous Dashboard'!B:CR,14,FALSE),0)</f>
        <v>5.9766857514670403E-3</v>
      </c>
      <c r="Q38" s="52">
        <f>IFERROR(VLOOKUP(B38,'All Sickness'!A:D,4,FALSE),"-")</f>
        <v>7.7075354958386494E-2</v>
      </c>
      <c r="R38" s="43">
        <f>IFERROR(VLOOKUP(B38,'Previous Dashboard'!B:CR,16,FALSE),0)</f>
        <v>6.7426415749422999E-2</v>
      </c>
      <c r="S38" s="63">
        <f>IF(Q38&lt;=Benchmark!K$4,1,0)</f>
        <v>0</v>
      </c>
      <c r="T38" s="44">
        <f>IFERROR(VLOOKUP(B38,LT.ST!A:C,3,FALSE),"-")</f>
        <v>4.8524013300569505E-2</v>
      </c>
      <c r="U38" s="43">
        <f>IFERROR(VLOOKUP(B38,'Previous Dashboard'!B:CR,19,FALSE),0)</f>
        <v>2.8316122608156299E-2</v>
      </c>
      <c r="V38" s="171">
        <f>IFERROR(VLOOKUP(B38,Turnover!A:C,2,FALSE),0)</f>
        <v>2.4691358024691398E-2</v>
      </c>
      <c r="W38" s="60">
        <f>IFERROR(VLOOKUP(B38,'Previous Dashboard'!B:CR,21,FALSE),0)</f>
        <v>7.3170731707317097E-2</v>
      </c>
      <c r="X38" s="63">
        <f>IF(V38&lt;=Benchmark!N$4,1,0)</f>
        <v>1</v>
      </c>
      <c r="Y38" s="159">
        <f>IFERROR(VLOOKUP(B38,Leavers!A:I,6,FALSE),0)</f>
        <v>1</v>
      </c>
      <c r="Z38" s="247">
        <f t="shared" si="8"/>
        <v>1</v>
      </c>
      <c r="AA38" s="298">
        <f>IFERROR(VLOOKUP(B38,'Previous Dashboard'!B:CR,25,FALSE),0)</f>
        <v>1</v>
      </c>
      <c r="AB38" s="188">
        <f>IFERROR(VLOOKUP(VLOOKUP($B38,'Pulse Mapping'!$A:$C,3,FALSE),'Pulse Survey'!$A:$J,2,FALSE),0)</f>
        <v>9</v>
      </c>
      <c r="AC38" s="25">
        <f>IFERROR(VLOOKUP(B38,'Previous Dashboard'!B:CR,27,FALSE),0)</f>
        <v>8</v>
      </c>
      <c r="AD38" s="362">
        <f t="shared" si="9"/>
        <v>0.19565217391304349</v>
      </c>
      <c r="AE38" s="408">
        <f>IFERROR(VLOOKUP(B38,'Staff Engagement'!A:E,5,FALSE),0)</f>
        <v>7.5</v>
      </c>
      <c r="AF38" s="409">
        <f>IFERROR(VLOOKUP(B38,'Previous Dashboard'!B:CQ,30,FALSE),0)</f>
        <v>7.1875</v>
      </c>
      <c r="AG38" s="112">
        <f>IFERROR(VLOOKUP(B38,'Staff Engagement'!A:E,2,FALSE),0)</f>
        <v>7.4074074074074074</v>
      </c>
      <c r="AH38" s="409">
        <f>IFERROR(VLOOKUP(B38,'Previous Dashboard'!B:CQ,32,FALSE),0)</f>
        <v>6.875</v>
      </c>
      <c r="AI38" s="112">
        <f>IFERROR(VLOOKUP(B38,'Staff Engagement'!A:E,3,FALSE),0)</f>
        <v>7.0370370370370372</v>
      </c>
      <c r="AJ38" s="409">
        <f>IFERROR(VLOOKUP(B38,'Previous Dashboard'!B:CQ,34,FALSE),0)</f>
        <v>7.395833333333333</v>
      </c>
      <c r="AK38" s="112">
        <f>IFERROR(VLOOKUP(B38,'Staff Engagement'!A:E,4,FALSE),0)</f>
        <v>8.0555555555555554</v>
      </c>
      <c r="AL38" s="271">
        <f>IFERROR(VLOOKUP(B38,'Previous Dashboard'!B:CQ,36,FALSE),0)</f>
        <v>7.291666666666667</v>
      </c>
      <c r="AM38" s="386">
        <f>IFERROR(VLOOKUP(B38,'Patient Experience'!A:K,9,FALSE),0)</f>
        <v>1</v>
      </c>
      <c r="AN38" s="60">
        <f>IFERROR(VLOOKUP(VLOOKUP($B38,'Pulse Mapping'!$A:$C,3,FALSE),'Pulse Survey'!$A:$J,'Pulse Survey'!C$1,FALSE),0)</f>
        <v>0.55555555555555558</v>
      </c>
      <c r="AO38" s="63" cm="1">
        <f t="array" ref="AO38">_xlfn.IFS(AN38 = "-",0,AN38 &gt;=Benchmark!R$4,1,AN38&lt;Benchmark!R$4,0)</f>
        <v>0</v>
      </c>
      <c r="AP38" s="43">
        <f>IFERROR(VLOOKUP(B38,'Previous Dashboard'!B:CR,39,FALSE),0)</f>
        <v>0.75</v>
      </c>
      <c r="AQ38" s="43">
        <f>IFERROR(VLOOKUP(VLOOKUP($B38,'Pulse Mapping'!$A:$C,3,FALSE),'Pulse Survey'!$A:$J,'Pulse Survey'!D$1,FALSE),0)</f>
        <v>0.66666666666666674</v>
      </c>
      <c r="AR38" s="63" cm="1">
        <f t="array" ref="AR38">_xlfn.IFS(AQ38 = "-",0,AQ38 &gt;=Benchmark!T$4,1,AQ38&lt;Benchmark!T$4,0)</f>
        <v>0</v>
      </c>
      <c r="AS38" s="24">
        <f>IFERROR(VLOOKUP(B38,'Previous Dashboard'!B:CR,42,FALSE),0)</f>
        <v>0.625</v>
      </c>
      <c r="AT38" s="43">
        <f>IFERROR(VLOOKUP(VLOOKUP($B38,'Pulse Mapping'!$A:$C,3,FALSE),'Pulse Survey'!$A:$J,'Pulse Survey'!E$1,FALSE),0)</f>
        <v>0.66666666666666663</v>
      </c>
      <c r="AU38" s="63" cm="1">
        <f t="array" ref="AU38">_xlfn.IFS(AT38 = "-",0,AT38 &gt;=Benchmark!V$4,1,AT38&lt;Benchmark!V$4,0)</f>
        <v>0</v>
      </c>
      <c r="AV38" s="24">
        <f>IFERROR(VLOOKUP(B38,'Previous Dashboard'!B:CR,45,FALSE),0)</f>
        <v>0.625</v>
      </c>
      <c r="AW38" s="43">
        <f>IFERROR(VLOOKUP(VLOOKUP($B38,'Pulse Mapping'!$A:$C,3,FALSE),'Pulse Survey'!$A:$J,'Pulse Survey'!F$1,FALSE),0)</f>
        <v>0.88888888888888884</v>
      </c>
      <c r="AX38" s="63" cm="1">
        <f t="array" ref="AX38">_xlfn.IFS(AW38 = "-",0,AW38 &gt;=Benchmark!X$4,1,AW38&lt;Benchmark!X$4,0)</f>
        <v>1</v>
      </c>
      <c r="AY38" s="24">
        <f>IFERROR(VLOOKUP(B38,'Previous Dashboard'!B:CR,48,FALSE),0)</f>
        <v>0.875</v>
      </c>
      <c r="AZ38" s="43">
        <f>IFERROR(VLOOKUP(VLOOKUP($B38,'Pulse Mapping'!$A:$C,3,FALSE),'Pulse Survey'!$A:$J,'Pulse Survey'!G$1,FALSE),0)</f>
        <v>0.66666666666666663</v>
      </c>
      <c r="BA38" s="63" cm="1">
        <f t="array" ref="BA38">_xlfn.IFS(AZ38 = "-",0,AZ38 &gt;=Benchmark!Z$4,1,AZ38&lt;Benchmark!Z$4,0)</f>
        <v>0</v>
      </c>
      <c r="BB38" s="24">
        <f>IFERROR(VLOOKUP(B38,'Previous Dashboard'!B:CR,51,FALSE),0)</f>
        <v>0.625</v>
      </c>
      <c r="BC38" s="43">
        <f>IFERROR(VLOOKUP(VLOOKUP($B38,'Pulse Mapping'!$A:$C,3,FALSE),'Pulse Survey'!$A:$J,'Pulse Survey'!H$1,FALSE),0)</f>
        <v>0.77777777777777768</v>
      </c>
      <c r="BD38" s="63" cm="1">
        <f t="array" ref="BD38">_xlfn.IFS(BC38 = "-",0,BC38 &gt;=Benchmark!AB$4,1,BC38&lt;Benchmark!AB$4,0)</f>
        <v>1</v>
      </c>
      <c r="BE38" s="24">
        <f>IFERROR(VLOOKUP(B38,'Previous Dashboard'!B:CR,54,FALSE),0)</f>
        <v>0.875</v>
      </c>
      <c r="BF38" s="43">
        <f>IFERROR(VLOOKUP(VLOOKUP($B38,'Pulse Mapping'!$A:$C,3,FALSE),'Pulse Survey'!$A:$J,'Pulse Survey'!I$1,FALSE),0)</f>
        <v>0.77777777777777779</v>
      </c>
      <c r="BG38" s="63" cm="1">
        <f t="array" ref="BG38">_xlfn.IFS(BF38 = "-",0,BF38 &gt;=Benchmark!AD$4,1,BF38&lt;Benchmark!AD$4,0)</f>
        <v>1</v>
      </c>
      <c r="BH38" s="91">
        <f>IFERROR(VLOOKUP(B38,'Previous Dashboard'!B:CR,57,FALSE),0)</f>
        <v>1</v>
      </c>
      <c r="BI38" s="44">
        <f>IFERROR(VLOOKUP(VLOOKUP($B38,'Pulse Mapping'!$A:$C,3,FALSE),'Pulse Survey'!$A:$J,'Pulse Survey'!J$1,FALSE),0)</f>
        <v>0.44444444444444442</v>
      </c>
      <c r="BJ38" s="63" cm="1">
        <f t="array" ref="BJ38">_xlfn.IFS(BI38 = "-",0,BI38 &gt;=Benchmark!AF$4,1,BI38&lt;Benchmark!AF$4,0)</f>
        <v>0</v>
      </c>
      <c r="BK38" s="145">
        <f>IFERROR(VLOOKUP(B38,'Previous Dashboard'!B:CR,60,FALSE),0)</f>
        <v>0.5</v>
      </c>
      <c r="BL38" s="191">
        <f t="shared" si="10"/>
        <v>3</v>
      </c>
      <c r="BM38" s="325">
        <f>IFERROR(VLOOKUP(B38,'Previous Dashboard'!B:CR,63,FALSE),0)</f>
        <v>4</v>
      </c>
      <c r="BN38" s="285">
        <f t="shared" ref="BN38:BN62" si="11">SUM(BJ38, BG38, BD38, BA38, AX38, AU38, AR38, AO38, X38, S38, L38)</f>
        <v>4</v>
      </c>
      <c r="BO38" s="190">
        <f>IFERROR(VLOOKUP(B38,'Previous Dashboard'!B:CR,65,FALSE),0)</f>
        <v>5</v>
      </c>
      <c r="BP38" s="25">
        <f>IFERROR(VLOOKUP(B38,'Previous Dashboard'!B:CR,66,FALSE),0)</f>
        <v>1</v>
      </c>
      <c r="BQ38" s="288">
        <f>IFERROR(VLOOKUP(B38,'Previous Dashboard'!B:CR,67,FALSE),0)</f>
        <v>3</v>
      </c>
      <c r="BR38" s="99"/>
      <c r="BS38" s="403">
        <f>IFERROR(VLOOKUP(B38,'Staff Survey'!B:L,3,FALSE),"-")</f>
        <v>7.1</v>
      </c>
      <c r="BT38" s="401" t="s">
        <v>389</v>
      </c>
      <c r="BU38" s="136">
        <f>IFERROR(VLOOKUP(B38,'Staff Survey'!B:L,4,FALSE),"-")</f>
        <v>5.7</v>
      </c>
      <c r="BV38" s="399" t="s">
        <v>389</v>
      </c>
      <c r="BW38" s="403">
        <f>IFERROR(VLOOKUP(B38,'Staff Survey'!B:L,5,FALSE),"-")</f>
        <v>6.5</v>
      </c>
      <c r="BX38" s="402" t="s">
        <v>389</v>
      </c>
      <c r="BY38" s="403">
        <f>IFERROR(VLOOKUP(B38,'Staff Survey'!B:L,6,FALSE),"-")</f>
        <v>5.8</v>
      </c>
      <c r="BZ38" s="402" t="s">
        <v>389</v>
      </c>
      <c r="CA38" s="403">
        <f>IFERROR(VLOOKUP(B38,'Staff Survey'!B:L,7,FALSE),"-")</f>
        <v>5</v>
      </c>
      <c r="CB38" s="428" t="s">
        <v>389</v>
      </c>
      <c r="CC38" s="403">
        <f>IFERROR(VLOOKUP(B38,'Staff Survey'!B:L,8,FALSE),"-")</f>
        <v>5.3</v>
      </c>
      <c r="CD38" s="428" t="s">
        <v>389</v>
      </c>
      <c r="CE38" s="403">
        <f>IFERROR(VLOOKUP(B38,'Staff Survey'!B:L,9,FALSE),"-")</f>
        <v>6.2</v>
      </c>
      <c r="CF38" s="428" t="s">
        <v>389</v>
      </c>
      <c r="CG38" s="140">
        <f>IFERROR(VLOOKUP(B38,'Staff Survey'!B:L,10,FALSE),"-")</f>
        <v>6.8</v>
      </c>
      <c r="CH38" s="277">
        <v>7</v>
      </c>
      <c r="CI38" s="412">
        <f>IFERROR(VLOOKUP(B38,'Staff Survey'!B:L,11,FALSE),"-")</f>
        <v>5.7</v>
      </c>
      <c r="CJ38" s="111">
        <v>6.5</v>
      </c>
      <c r="CL38" s="119">
        <f>IFERROR(VLOOKUP(B38,'LfE . HR Ops . F2SU'!A:B,2,FALSE),0)</f>
        <v>4</v>
      </c>
      <c r="CM38" s="119">
        <f>IFERROR(VLOOKUP(B38,'Previous Dashboard'!B:CR,89,FALSE),0)</f>
        <v>4</v>
      </c>
      <c r="CN38" s="124"/>
      <c r="CO38" s="125"/>
      <c r="CP38" s="126"/>
      <c r="CQ38" s="126"/>
    </row>
    <row r="39" spans="1:95" x14ac:dyDescent="0.25">
      <c r="A39" s="654"/>
      <c r="B39" s="543" t="s">
        <v>64</v>
      </c>
      <c r="C39" s="310">
        <f>IFERROR(VLOOKUP(B39,'Staff In Post'!A:C,3,FALSE),0)</f>
        <v>88</v>
      </c>
      <c r="D39" s="246">
        <f>IFERROR(VLOOKUP(B39,'Mandatory Training'!A:C,3,FALSE),0)</f>
        <v>0.73255813953488369</v>
      </c>
      <c r="E39" s="24">
        <f>IFERROR(VLOOKUP(B39,'Previous Dashboard'!B:CR,3,FALSE),0)</f>
        <v>0.61445783132530118</v>
      </c>
      <c r="F39" s="63">
        <f>IF(D39&gt;=Benchmark!C$4,1,0)</f>
        <v>0</v>
      </c>
      <c r="G39" s="17">
        <f>IFERROR(VLOOKUP(B39,Appraisals!A:C,3,FALSE),0)</f>
        <v>0.93055555555555558</v>
      </c>
      <c r="H39" s="24">
        <f>IFERROR(VLOOKUP(B39,'Previous Dashboard'!B:CR,6,FALSE),0)</f>
        <v>0.92957746478873238</v>
      </c>
      <c r="I39" s="63">
        <f>IF(G39&gt;=Benchmark!E$4,1,0)</f>
        <v>1</v>
      </c>
      <c r="J39" s="59">
        <f t="shared" ref="J39:J48" si="12">AVERAGE(D39,G39)</f>
        <v>0.83155684754521964</v>
      </c>
      <c r="K39" s="91">
        <f t="shared" ref="K39:K48" si="13">AVERAGE(E39, H39)</f>
        <v>0.77201764805701678</v>
      </c>
      <c r="L39" s="63">
        <f>IF(J39&gt;=Benchmark!G$4,1,0)</f>
        <v>0</v>
      </c>
      <c r="M39" s="51">
        <f>IFERROR(VLOOKUP(B39,Stress!A:D,4,FALSE),"-")</f>
        <v>1.1218987422276601E-2</v>
      </c>
      <c r="N39" s="60">
        <f>IFERROR(VLOOKUP(B39,'Previous Dashboard'!B:CR,12,FALSE),0)</f>
        <v>8.6141368534137994E-3</v>
      </c>
      <c r="O39" s="52">
        <f>IFERROR(VLOOKUP(B39,'Musculo Skeletal'!A:D,4,FALSE),"-")</f>
        <v>4.2647936494314602E-4</v>
      </c>
      <c r="P39" s="43">
        <f>IFERROR(VLOOKUP(B39,'Previous Dashboard'!B:CR,14,FALSE),0)</f>
        <v>6.3738459760366798E-3</v>
      </c>
      <c r="Q39" s="52">
        <f>IFERROR(VLOOKUP(B39,'All Sickness'!A:D,4,FALSE),"-")</f>
        <v>3.0518877014813001E-2</v>
      </c>
      <c r="R39" s="43">
        <f>IFERROR(VLOOKUP(B39,'Previous Dashboard'!B:CR,16,FALSE),0)</f>
        <v>3.73197460901439E-2</v>
      </c>
      <c r="S39" s="63">
        <f>IF(Q39&lt;=Benchmark!K$4,1,0)</f>
        <v>1</v>
      </c>
      <c r="T39" s="44">
        <f>IFERROR(VLOOKUP(B39,LT.ST!A:C,3,FALSE),"-")</f>
        <v>1.0897242890130601E-2</v>
      </c>
      <c r="U39" s="43">
        <f>IFERROR(VLOOKUP(B39,'Previous Dashboard'!B:CR,19,FALSE),0)</f>
        <v>1.48617683700598E-2</v>
      </c>
      <c r="V39" s="42">
        <f>IFERROR(VLOOKUP(B39,Turnover!A:C,2,FALSE),0)</f>
        <v>2.40963855421687E-2</v>
      </c>
      <c r="W39" s="60">
        <f>IFERROR(VLOOKUP(B39,'Previous Dashboard'!B:CR,21,FALSE),0)</f>
        <v>2.3809523809523801E-2</v>
      </c>
      <c r="X39" s="63">
        <f>IF(V39&lt;=Benchmark!N$4,1,0)</f>
        <v>1</v>
      </c>
      <c r="Y39" s="159">
        <f>IFERROR(VLOOKUP(B39,Leavers!A:I,6,FALSE),0)</f>
        <v>2</v>
      </c>
      <c r="Z39" s="247">
        <f t="shared" ref="Z39:Z48" si="14">SUM(L39, S39, X39)</f>
        <v>2</v>
      </c>
      <c r="AA39" s="298">
        <f>IFERROR(VLOOKUP(B39,'Previous Dashboard'!B:CR,25,FALSE),0)</f>
        <v>2</v>
      </c>
      <c r="AB39" s="188">
        <f>IFERROR(VLOOKUP(VLOOKUP($B39,'Pulse Mapping'!$A:$C,3,FALSE),'Pulse Survey'!$A:$J,2,FALSE),0)</f>
        <v>12</v>
      </c>
      <c r="AC39" s="25">
        <f>IFERROR(VLOOKUP(B39,'Previous Dashboard'!B:CR,27,FALSE),0)</f>
        <v>24</v>
      </c>
      <c r="AD39" s="362">
        <f t="shared" ref="AD39:AD48" si="15" xml:space="preserve"> AB39/C39</f>
        <v>0.13636363636363635</v>
      </c>
      <c r="AE39" s="408">
        <f>IFERROR(VLOOKUP(B39,'Staff Engagement'!A:E,5,FALSE),0)</f>
        <v>7.5694444444444429</v>
      </c>
      <c r="AF39" s="409">
        <f>IFERROR(VLOOKUP(B39,'Previous Dashboard'!B:CQ,30,FALSE),0)</f>
        <v>7.3611111111111098</v>
      </c>
      <c r="AG39" s="112">
        <f>IFERROR(VLOOKUP(B39,'Staff Engagement'!A:E,2,FALSE),0)</f>
        <v>7.083333333333333</v>
      </c>
      <c r="AH39" s="409">
        <f>IFERROR(VLOOKUP(B39,'Previous Dashboard'!B:CQ,32,FALSE),0)</f>
        <v>7.083333333333333</v>
      </c>
      <c r="AI39" s="112">
        <f>IFERROR(VLOOKUP(B39,'Staff Engagement'!A:E,3,FALSE),0)</f>
        <v>7.708333333333333</v>
      </c>
      <c r="AJ39" s="409">
        <f>IFERROR(VLOOKUP(B39,'Previous Dashboard'!B:CQ,34,FALSE),0)</f>
        <v>7.4652777777777777</v>
      </c>
      <c r="AK39" s="112">
        <f>IFERROR(VLOOKUP(B39,'Staff Engagement'!A:E,4,FALSE),0)</f>
        <v>7.916666666666667</v>
      </c>
      <c r="AL39" s="271">
        <f>IFERROR(VLOOKUP(B39,'Previous Dashboard'!B:CQ,36,FALSE),0)</f>
        <v>7.5347222222222223</v>
      </c>
      <c r="AM39" s="386">
        <f>IFERROR(VLOOKUP(B39,'Patient Experience'!A:K,9,FALSE),0)</f>
        <v>1</v>
      </c>
      <c r="AN39" s="60">
        <f>IFERROR(VLOOKUP(VLOOKUP($B39,'Pulse Mapping'!$A:$C,3,FALSE),'Pulse Survey'!$A:$J,'Pulse Survey'!C$1,FALSE),0)</f>
        <v>0.83333333333333337</v>
      </c>
      <c r="AO39" s="63" cm="1">
        <f t="array" ref="AO39">_xlfn.IFS(AN39 = "-",0,AN39 &gt;=Benchmark!R$4,1,AN39&lt;Benchmark!R$4,0)</f>
        <v>1</v>
      </c>
      <c r="AP39" s="43">
        <f>IFERROR(VLOOKUP(B39,'Previous Dashboard'!B:CR,39,FALSE),0)</f>
        <v>0.75</v>
      </c>
      <c r="AQ39" s="43">
        <f>IFERROR(VLOOKUP(VLOOKUP($B39,'Pulse Mapping'!$A:$C,3,FALSE),'Pulse Survey'!$A:$J,'Pulse Survey'!D$1,FALSE),0)</f>
        <v>0.66666666666666663</v>
      </c>
      <c r="AR39" s="63" cm="1">
        <f t="array" ref="AR39">_xlfn.IFS(AQ39 = "-",0,AQ39 &gt;=Benchmark!T$4,1,AQ39&lt;Benchmark!T$4,0)</f>
        <v>0</v>
      </c>
      <c r="AS39" s="24">
        <f>IFERROR(VLOOKUP(B39,'Previous Dashboard'!B:CR,42,FALSE),0)</f>
        <v>0.66666666666666663</v>
      </c>
      <c r="AT39" s="43">
        <f>IFERROR(VLOOKUP(VLOOKUP($B39,'Pulse Mapping'!$A:$C,3,FALSE),'Pulse Survey'!$A:$J,'Pulse Survey'!E$1,FALSE),0)</f>
        <v>0.75</v>
      </c>
      <c r="AU39" s="63" cm="1">
        <f t="array" ref="AU39">_xlfn.IFS(AT39 = "-",0,AT39 &gt;=Benchmark!V$4,1,AT39&lt;Benchmark!V$4,0)</f>
        <v>1</v>
      </c>
      <c r="AV39" s="24">
        <f>IFERROR(VLOOKUP(B39,'Previous Dashboard'!B:CR,45,FALSE),0)</f>
        <v>0.70833333333333326</v>
      </c>
      <c r="AW39" s="43">
        <f>IFERROR(VLOOKUP(VLOOKUP($B39,'Pulse Mapping'!$A:$C,3,FALSE),'Pulse Survey'!$A:$J,'Pulse Survey'!F$1,FALSE),0)</f>
        <v>0.91666666666666663</v>
      </c>
      <c r="AX39" s="63" cm="1">
        <f t="array" ref="AX39">_xlfn.IFS(AW39 = "-",0,AW39 &gt;=Benchmark!X$4,1,AW39&lt;Benchmark!X$4,0)</f>
        <v>1</v>
      </c>
      <c r="AY39" s="24">
        <f>IFERROR(VLOOKUP(B39,'Previous Dashboard'!B:CR,48,FALSE),0)</f>
        <v>0.79166666666666663</v>
      </c>
      <c r="AZ39" s="43">
        <f>IFERROR(VLOOKUP(VLOOKUP($B39,'Pulse Mapping'!$A:$C,3,FALSE),'Pulse Survey'!$A:$J,'Pulse Survey'!G$1,FALSE),0)</f>
        <v>1</v>
      </c>
      <c r="BA39" s="63" cm="1">
        <f t="array" ref="BA39">_xlfn.IFS(AZ39 = "-",0,AZ39 &gt;=Benchmark!Z$4,1,AZ39&lt;Benchmark!Z$4,0)</f>
        <v>1</v>
      </c>
      <c r="BB39" s="24">
        <f>IFERROR(VLOOKUP(B39,'Previous Dashboard'!B:CR,51,FALSE),0)</f>
        <v>0.83333333333333337</v>
      </c>
      <c r="BC39" s="43">
        <f>IFERROR(VLOOKUP(VLOOKUP($B39,'Pulse Mapping'!$A:$C,3,FALSE),'Pulse Survey'!$A:$J,'Pulse Survey'!H$1,FALSE),0)</f>
        <v>0.83333333333333337</v>
      </c>
      <c r="BD39" s="63" cm="1">
        <f t="array" ref="BD39">_xlfn.IFS(BC39 = "-",0,BC39 &gt;=Benchmark!AB$4,1,BC39&lt;Benchmark!AB$4,0)</f>
        <v>1</v>
      </c>
      <c r="BE39" s="24">
        <f>IFERROR(VLOOKUP(B39,'Previous Dashboard'!B:CR,54,FALSE),0)</f>
        <v>0.83333333333333337</v>
      </c>
      <c r="BF39" s="43">
        <f>IFERROR(VLOOKUP(VLOOKUP($B39,'Pulse Mapping'!$A:$C,3,FALSE),'Pulse Survey'!$A:$J,'Pulse Survey'!I$1,FALSE),0)</f>
        <v>0.91666666666666674</v>
      </c>
      <c r="BG39" s="63" cm="1">
        <f t="array" ref="BG39">_xlfn.IFS(BF39 = "-",0,BF39 &gt;=Benchmark!AD$4,1,BF39&lt;Benchmark!AD$4,0)</f>
        <v>1</v>
      </c>
      <c r="BH39" s="91">
        <f>IFERROR(VLOOKUP(B39,'Previous Dashboard'!B:CR,57,FALSE),0)</f>
        <v>0.875</v>
      </c>
      <c r="BI39" s="44">
        <f>IFERROR(VLOOKUP(VLOOKUP($B39,'Pulse Mapping'!$A:$C,3,FALSE),'Pulse Survey'!$A:$J,'Pulse Survey'!J$1,FALSE),0)</f>
        <v>1</v>
      </c>
      <c r="BJ39" s="63" cm="1">
        <f t="array" ref="BJ39">_xlfn.IFS(BI39 = "-",0,BI39 &gt;=Benchmark!AF$4,1,BI39&lt;Benchmark!AF$4,0)</f>
        <v>1</v>
      </c>
      <c r="BK39" s="145">
        <f>IFERROR(VLOOKUP(B39,'Previous Dashboard'!B:CR,60,FALSE),0)</f>
        <v>0.75</v>
      </c>
      <c r="BL39" s="224">
        <f>SUM(AO39, AR39, AU39, AX39, BA39, BD39, BG39, BJ39)</f>
        <v>7</v>
      </c>
      <c r="BM39" s="325">
        <f>IFERROR(VLOOKUP(B39,'Previous Dashboard'!B:CR,63,FALSE),0)</f>
        <v>7</v>
      </c>
      <c r="BN39" s="285">
        <f t="shared" si="11"/>
        <v>9</v>
      </c>
      <c r="BO39" s="190">
        <f>IFERROR(VLOOKUP(B39,'Previous Dashboard'!B:CR,65,FALSE),0)</f>
        <v>9</v>
      </c>
      <c r="BP39" s="25">
        <f>IFERROR(VLOOKUP(B39,'Previous Dashboard'!B:CR,66,FALSE),0)</f>
        <v>1</v>
      </c>
      <c r="BQ39" s="288">
        <f>IFERROR(VLOOKUP(B39,'Previous Dashboard'!B:CR,67,FALSE),0)</f>
        <v>9</v>
      </c>
      <c r="BR39" s="99"/>
      <c r="BS39" s="403">
        <f>IFERROR(VLOOKUP(B39,'Staff Survey'!B:L,3,FALSE),"-")</f>
        <v>7.4</v>
      </c>
      <c r="BT39" s="401" t="s">
        <v>389</v>
      </c>
      <c r="BU39" s="136">
        <f>IFERROR(VLOOKUP(B39,'Staff Survey'!B:L,4,FALSE),"-")</f>
        <v>6.1</v>
      </c>
      <c r="BV39" s="399" t="s">
        <v>389</v>
      </c>
      <c r="BW39" s="403">
        <f>IFERROR(VLOOKUP(B39,'Staff Survey'!B:L,5,FALSE),"-")</f>
        <v>6.8</v>
      </c>
      <c r="BX39" s="402" t="s">
        <v>389</v>
      </c>
      <c r="BY39" s="403">
        <f>IFERROR(VLOOKUP(B39,'Staff Survey'!B:L,6,FALSE),"-")</f>
        <v>5.9</v>
      </c>
      <c r="BZ39" s="402" t="s">
        <v>389</v>
      </c>
      <c r="CA39" s="403">
        <f>IFERROR(VLOOKUP(B39,'Staff Survey'!B:L,7,FALSE),"-")</f>
        <v>5.6</v>
      </c>
      <c r="CB39" s="428" t="s">
        <v>389</v>
      </c>
      <c r="CC39" s="403">
        <f>IFERROR(VLOOKUP(B39,'Staff Survey'!B:L,8,FALSE),"-")</f>
        <v>6</v>
      </c>
      <c r="CD39" s="428" t="s">
        <v>389</v>
      </c>
      <c r="CE39" s="403">
        <f>IFERROR(VLOOKUP(B39,'Staff Survey'!B:L,9,FALSE),"-")</f>
        <v>6.6</v>
      </c>
      <c r="CF39" s="428" t="s">
        <v>389</v>
      </c>
      <c r="CG39" s="140">
        <f>IFERROR(VLOOKUP(B39,'Staff Survey'!B:L,10,FALSE),"-")</f>
        <v>6.8</v>
      </c>
      <c r="CH39" s="409">
        <v>7.2</v>
      </c>
      <c r="CI39" s="412">
        <f>IFERROR(VLOOKUP(B39,'Staff Survey'!B:L,11,FALSE),"-")</f>
        <v>5.7</v>
      </c>
      <c r="CJ39" s="271">
        <v>6.8</v>
      </c>
      <c r="CL39" s="119">
        <f>IFERROR(VLOOKUP(B39,'LfE . HR Ops . F2SU'!A:B,2,FALSE),0)</f>
        <v>5</v>
      </c>
      <c r="CM39" s="119">
        <f>IFERROR(VLOOKUP(B39,'Previous Dashboard'!B:CR,89,FALSE),0)</f>
        <v>5</v>
      </c>
      <c r="CN39" s="124"/>
      <c r="CO39" s="125"/>
      <c r="CP39" s="126"/>
      <c r="CQ39" s="126"/>
    </row>
    <row r="40" spans="1:95" x14ac:dyDescent="0.25">
      <c r="A40" s="654"/>
      <c r="B40" s="543" t="s">
        <v>65</v>
      </c>
      <c r="C40" s="310">
        <f>IFERROR(VLOOKUP(B40,'Staff In Post'!A:C,3,FALSE),0)</f>
        <v>49</v>
      </c>
      <c r="D40" s="246">
        <f>IFERROR(VLOOKUP(B40,'Mandatory Training'!A:C,3,FALSE),0)</f>
        <v>0.65306122448979587</v>
      </c>
      <c r="E40" s="24">
        <f>IFERROR(VLOOKUP(B40,'Previous Dashboard'!B:CR,3,FALSE),0)</f>
        <v>0.5490196078431373</v>
      </c>
      <c r="F40" s="63">
        <f>IF(D40&gt;=Benchmark!C$4,1,0)</f>
        <v>0</v>
      </c>
      <c r="G40" s="17">
        <f>IFERROR(VLOOKUP(B40,Appraisals!A:C,3,FALSE),0)</f>
        <v>0.86486486486486491</v>
      </c>
      <c r="H40" s="24">
        <f>IFERROR(VLOOKUP(B40,'Previous Dashboard'!B:CR,6,FALSE),0)</f>
        <v>0.76923076923076927</v>
      </c>
      <c r="I40" s="63">
        <f>IF(G40&gt;=Benchmark!E$4,1,0)</f>
        <v>0</v>
      </c>
      <c r="J40" s="59">
        <f t="shared" si="12"/>
        <v>0.75896304467733033</v>
      </c>
      <c r="K40" s="91">
        <f t="shared" si="13"/>
        <v>0.65912518853695334</v>
      </c>
      <c r="L40" s="63">
        <f>IF(J40&gt;=Benchmark!G$4,1,0)</f>
        <v>0</v>
      </c>
      <c r="M40" s="51">
        <f>IFERROR(VLOOKUP(B40,Stress!A:D,4,FALSE),"-")</f>
        <v>3.0783115237715299E-2</v>
      </c>
      <c r="N40" s="60">
        <f>IFERROR(VLOOKUP(B40,'Previous Dashboard'!B:CR,12,FALSE),0)</f>
        <v>1.8936283524636E-2</v>
      </c>
      <c r="O40" s="52">
        <f>IFERROR(VLOOKUP(B40,'Musculo Skeletal'!A:D,4,FALSE),"-")</f>
        <v>1.9780494691490302E-2</v>
      </c>
      <c r="P40" s="43">
        <f>IFERROR(VLOOKUP(B40,'Previous Dashboard'!B:CR,14,FALSE),0)</f>
        <v>0</v>
      </c>
      <c r="Q40" s="52">
        <f>IFERROR(VLOOKUP(B40,'All Sickness'!A:D,4,FALSE),"-")</f>
        <v>7.2046609138806395E-2</v>
      </c>
      <c r="R40" s="43">
        <f>IFERROR(VLOOKUP(B40,'Previous Dashboard'!B:CR,16,FALSE),0)</f>
        <v>5.5265602699752302E-2</v>
      </c>
      <c r="S40" s="63">
        <f>IF(Q40&lt;=Benchmark!K$4,1,0)</f>
        <v>0</v>
      </c>
      <c r="T40" s="44">
        <f>IFERROR(VLOOKUP(B40,LT.ST!A:C,3,FALSE),"-")</f>
        <v>4.4219752300331601E-2</v>
      </c>
      <c r="U40" s="43">
        <f>IFERROR(VLOOKUP(B40,'Previous Dashboard'!B:CR,19,FALSE),0)</f>
        <v>3.04217366580894E-2</v>
      </c>
      <c r="V40" s="42">
        <f>IFERROR(VLOOKUP(B40,Turnover!A:C,2,FALSE),0)</f>
        <v>2.02020202020202E-2</v>
      </c>
      <c r="W40" s="60">
        <f>IFERROR(VLOOKUP(B40,'Previous Dashboard'!B:CR,21,FALSE),0)</f>
        <v>5.8252427184466E-2</v>
      </c>
      <c r="X40" s="63">
        <f>IF(V40&lt;=Benchmark!N$4,1,0)</f>
        <v>1</v>
      </c>
      <c r="Y40" s="159">
        <f>IFERROR(VLOOKUP(B40,Leavers!A:I,6,FALSE),0)</f>
        <v>1</v>
      </c>
      <c r="Z40" s="247">
        <f t="shared" si="14"/>
        <v>1</v>
      </c>
      <c r="AA40" s="298">
        <f>IFERROR(VLOOKUP(B40,'Previous Dashboard'!B:CR,25,FALSE),0)</f>
        <v>1</v>
      </c>
      <c r="AB40" s="188">
        <f>IFERROR(VLOOKUP(VLOOKUP($B40,'Pulse Mapping'!$A:$C,3,FALSE),'Pulse Survey'!$A:$J,2,FALSE),0)</f>
        <v>5</v>
      </c>
      <c r="AC40" s="25">
        <f>IFERROR(VLOOKUP(B40,'Previous Dashboard'!B:CR,27,FALSE),0)</f>
        <v>8</v>
      </c>
      <c r="AD40" s="362">
        <f t="shared" si="15"/>
        <v>0.10204081632653061</v>
      </c>
      <c r="AE40" s="408">
        <f>IFERROR(VLOOKUP(B40,'Staff Engagement'!A:E,5,FALSE),0)</f>
        <v>7.1666666666666661</v>
      </c>
      <c r="AF40" s="409">
        <f>IFERROR(VLOOKUP(B40,'Previous Dashboard'!B:CQ,30,FALSE),0)</f>
        <v>6.875</v>
      </c>
      <c r="AG40" s="112">
        <f>IFERROR(VLOOKUP(B40,'Staff Engagement'!A:E,2,FALSE),0)</f>
        <v>6.666666666666667</v>
      </c>
      <c r="AH40" s="409">
        <f>IFERROR(VLOOKUP(B40,'Previous Dashboard'!B:CQ,32,FALSE),0)</f>
        <v>6.5625</v>
      </c>
      <c r="AI40" s="112">
        <f>IFERROR(VLOOKUP(B40,'Staff Engagement'!A:E,3,FALSE),0)</f>
        <v>7.166666666666667</v>
      </c>
      <c r="AJ40" s="409">
        <f>IFERROR(VLOOKUP(B40,'Previous Dashboard'!B:CQ,34,FALSE),0)</f>
        <v>6.666666666666667</v>
      </c>
      <c r="AK40" s="112">
        <f>IFERROR(VLOOKUP(B40,'Staff Engagement'!A:E,4,FALSE),0)</f>
        <v>7.666666666666667</v>
      </c>
      <c r="AL40" s="271">
        <f>IFERROR(VLOOKUP(B40,'Previous Dashboard'!B:CQ,36,FALSE),0)</f>
        <v>7.395833333333333</v>
      </c>
      <c r="AM40" s="386">
        <f>IFERROR(VLOOKUP(B40,'Patient Experience'!A:K,9,FALSE),0)</f>
        <v>1</v>
      </c>
      <c r="AN40" s="60">
        <f>IFERROR(VLOOKUP(VLOOKUP($B40,'Pulse Mapping'!$A:$C,3,FALSE),'Pulse Survey'!$A:$J,'Pulse Survey'!C$1,FALSE),0)</f>
        <v>0.4</v>
      </c>
      <c r="AO40" s="63" cm="1">
        <f t="array" ref="AO40">_xlfn.IFS(AN40 = "-",0,AN40 &gt;=Benchmark!R$4,1,AN40&lt;Benchmark!R$4,0)</f>
        <v>0</v>
      </c>
      <c r="AP40" s="43">
        <f>IFERROR(VLOOKUP(B40,'Previous Dashboard'!B:CR,39,FALSE),0)</f>
        <v>0.375</v>
      </c>
      <c r="AQ40" s="43">
        <f>IFERROR(VLOOKUP(VLOOKUP($B40,'Pulse Mapping'!$A:$C,3,FALSE),'Pulse Survey'!$A:$J,'Pulse Survey'!D$1,FALSE),0)</f>
        <v>0.60000000000000009</v>
      </c>
      <c r="AR40" s="63" cm="1">
        <f t="array" ref="AR40">_xlfn.IFS(AQ40 = "-",0,AQ40 &gt;=Benchmark!T$4,1,AQ40&lt;Benchmark!T$4,0)</f>
        <v>0</v>
      </c>
      <c r="AS40" s="24">
        <f>IFERROR(VLOOKUP(B40,'Previous Dashboard'!B:CR,42,FALSE),0)</f>
        <v>0.625</v>
      </c>
      <c r="AT40" s="43">
        <f>IFERROR(VLOOKUP(VLOOKUP($B40,'Pulse Mapping'!$A:$C,3,FALSE),'Pulse Survey'!$A:$J,'Pulse Survey'!E$1,FALSE),0)</f>
        <v>0.8</v>
      </c>
      <c r="AU40" s="63" cm="1">
        <f t="array" ref="AU40">_xlfn.IFS(AT40 = "-",0,AT40 &gt;=Benchmark!V$4,1,AT40&lt;Benchmark!V$4,0)</f>
        <v>1</v>
      </c>
      <c r="AV40" s="24">
        <f>IFERROR(VLOOKUP(B40,'Previous Dashboard'!B:CR,45,FALSE),0)</f>
        <v>0.25</v>
      </c>
      <c r="AW40" s="43">
        <f>IFERROR(VLOOKUP(VLOOKUP($B40,'Pulse Mapping'!$A:$C,3,FALSE),'Pulse Survey'!$A:$J,'Pulse Survey'!F$1,FALSE),0)</f>
        <v>0.4</v>
      </c>
      <c r="AX40" s="63" cm="1">
        <f t="array" ref="AX40">_xlfn.IFS(AW40 = "-",0,AW40 &gt;=Benchmark!X$4,1,AW40&lt;Benchmark!X$4,0)</f>
        <v>0</v>
      </c>
      <c r="AY40" s="24">
        <f>IFERROR(VLOOKUP(B40,'Previous Dashboard'!B:CR,48,FALSE),0)</f>
        <v>0.5</v>
      </c>
      <c r="AZ40" s="43">
        <f>IFERROR(VLOOKUP(VLOOKUP($B40,'Pulse Mapping'!$A:$C,3,FALSE),'Pulse Survey'!$A:$J,'Pulse Survey'!G$1,FALSE),0)</f>
        <v>0.4</v>
      </c>
      <c r="BA40" s="63" cm="1">
        <f t="array" ref="BA40">_xlfn.IFS(AZ40 = "-",0,AZ40 &gt;=Benchmark!Z$4,1,AZ40&lt;Benchmark!Z$4,0)</f>
        <v>0</v>
      </c>
      <c r="BB40" s="24">
        <f>IFERROR(VLOOKUP(B40,'Previous Dashboard'!B:CR,51,FALSE),0)</f>
        <v>0.375</v>
      </c>
      <c r="BC40" s="43">
        <f>IFERROR(VLOOKUP(VLOOKUP($B40,'Pulse Mapping'!$A:$C,3,FALSE),'Pulse Survey'!$A:$J,'Pulse Survey'!H$1,FALSE),0)</f>
        <v>0.8</v>
      </c>
      <c r="BD40" s="63" cm="1">
        <f t="array" ref="BD40">_xlfn.IFS(BC40 = "-",0,BC40 &gt;=Benchmark!AB$4,1,BC40&lt;Benchmark!AB$4,0)</f>
        <v>1</v>
      </c>
      <c r="BE40" s="24">
        <f>IFERROR(VLOOKUP(B40,'Previous Dashboard'!B:CR,54,FALSE),0)</f>
        <v>0.5</v>
      </c>
      <c r="BF40" s="43">
        <f>IFERROR(VLOOKUP(VLOOKUP($B40,'Pulse Mapping'!$A:$C,3,FALSE),'Pulse Survey'!$A:$J,'Pulse Survey'!I$1,FALSE),0)</f>
        <v>0.8</v>
      </c>
      <c r="BG40" s="63" cm="1">
        <f t="array" ref="BG40">_xlfn.IFS(BF40 = "-",0,BF40 &gt;=Benchmark!AD$4,1,BF40&lt;Benchmark!AD$4,0)</f>
        <v>1</v>
      </c>
      <c r="BH40" s="91">
        <f>IFERROR(VLOOKUP(B40,'Previous Dashboard'!B:CR,57,FALSE),0)</f>
        <v>0.75</v>
      </c>
      <c r="BI40" s="44">
        <f>IFERROR(VLOOKUP(VLOOKUP($B40,'Pulse Mapping'!$A:$C,3,FALSE),'Pulse Survey'!$A:$J,'Pulse Survey'!J$1,FALSE),0)</f>
        <v>0.8</v>
      </c>
      <c r="BJ40" s="63" cm="1">
        <f t="array" ref="BJ40">_xlfn.IFS(BI40 = "-",0,BI40 &gt;=Benchmark!AF$4,1,BI40&lt;Benchmark!AF$4,0)</f>
        <v>1</v>
      </c>
      <c r="BK40" s="145">
        <f>IFERROR(VLOOKUP(B40,'Previous Dashboard'!B:CR,60,FALSE),0)</f>
        <v>0.375</v>
      </c>
      <c r="BL40" s="224">
        <f>SUM(AO40, AR40, AU40, AX40, BA40, BD40, BG40, BJ40)</f>
        <v>4</v>
      </c>
      <c r="BM40" s="325">
        <f>IFERROR(VLOOKUP(B40,'Previous Dashboard'!B:CR,63,FALSE),0)</f>
        <v>1</v>
      </c>
      <c r="BN40" s="285">
        <f t="shared" si="11"/>
        <v>5</v>
      </c>
      <c r="BO40" s="190">
        <f>IFERROR(VLOOKUP(B40,'Previous Dashboard'!B:CR,65,FALSE),0)</f>
        <v>2</v>
      </c>
      <c r="BP40" s="25">
        <f>IFERROR(VLOOKUP(B40,'Previous Dashboard'!B:CR,66,FALSE),0)</f>
        <v>1</v>
      </c>
      <c r="BQ40" s="288">
        <f>IFERROR(VLOOKUP(B40,'Previous Dashboard'!B:CR,67,FALSE),0)</f>
        <v>2</v>
      </c>
      <c r="BR40" s="99"/>
      <c r="BS40" s="403">
        <f>IFERROR(VLOOKUP(B40,'Staff Survey'!B:L,3,FALSE),"-")</f>
        <v>7.1</v>
      </c>
      <c r="BT40" s="401" t="s">
        <v>389</v>
      </c>
      <c r="BU40" s="136">
        <f>IFERROR(VLOOKUP(B40,'Staff Survey'!B:L,4,FALSE),"-")</f>
        <v>5.7</v>
      </c>
      <c r="BV40" s="399" t="s">
        <v>389</v>
      </c>
      <c r="BW40" s="403">
        <f>IFERROR(VLOOKUP(B40,'Staff Survey'!B:L,5,FALSE),"-")</f>
        <v>6.5</v>
      </c>
      <c r="BX40" s="402" t="s">
        <v>389</v>
      </c>
      <c r="BY40" s="403">
        <f>IFERROR(VLOOKUP(B40,'Staff Survey'!B:L,6,FALSE),"-")</f>
        <v>5.8</v>
      </c>
      <c r="BZ40" s="402" t="s">
        <v>389</v>
      </c>
      <c r="CA40" s="403">
        <f>IFERROR(VLOOKUP(B40,'Staff Survey'!B:L,7,FALSE),"-")</f>
        <v>5</v>
      </c>
      <c r="CB40" s="428" t="s">
        <v>389</v>
      </c>
      <c r="CC40" s="403">
        <f>IFERROR(VLOOKUP(B40,'Staff Survey'!B:L,8,FALSE),"-")</f>
        <v>5.3</v>
      </c>
      <c r="CD40" s="428" t="s">
        <v>389</v>
      </c>
      <c r="CE40" s="403">
        <f>IFERROR(VLOOKUP(B40,'Staff Survey'!B:L,9,FALSE),"-")</f>
        <v>6.2</v>
      </c>
      <c r="CF40" s="428" t="s">
        <v>389</v>
      </c>
      <c r="CG40" s="140">
        <f>IFERROR(VLOOKUP(B40,'Staff Survey'!B:L,10,FALSE),"-")</f>
        <v>6.8</v>
      </c>
      <c r="CH40" s="277">
        <v>7</v>
      </c>
      <c r="CI40" s="412">
        <f>IFERROR(VLOOKUP(B40,'Staff Survey'!B:L,11,FALSE),"-")</f>
        <v>5.7</v>
      </c>
      <c r="CJ40" s="111">
        <v>6.2</v>
      </c>
      <c r="CL40" s="119">
        <f>IFERROR(VLOOKUP(B40,'LfE . HR Ops . F2SU'!A:B,2,FALSE),0)</f>
        <v>2</v>
      </c>
      <c r="CM40" s="119">
        <f>IFERROR(VLOOKUP(B40,'Previous Dashboard'!B:CR,89,FALSE),0)</f>
        <v>3</v>
      </c>
      <c r="CN40" s="124"/>
      <c r="CO40" s="125"/>
      <c r="CP40" s="126"/>
      <c r="CQ40" s="126"/>
    </row>
    <row r="41" spans="1:95" x14ac:dyDescent="0.25">
      <c r="A41" s="654"/>
      <c r="B41" s="543" t="s">
        <v>66</v>
      </c>
      <c r="C41" s="310">
        <f>IFERROR(VLOOKUP(B41,'Staff In Post'!A:C,3,FALSE),0)</f>
        <v>138</v>
      </c>
      <c r="D41" s="246">
        <f>IFERROR(VLOOKUP(B41,'Mandatory Training'!A:C,3,FALSE),0)</f>
        <v>0.67889908256880738</v>
      </c>
      <c r="E41" s="24">
        <f>IFERROR(VLOOKUP(B41,'Previous Dashboard'!B:CR,3,FALSE),0)</f>
        <v>0.61682242990654201</v>
      </c>
      <c r="F41" s="63">
        <f>IF(D41&gt;=Benchmark!C$4,1,0)</f>
        <v>0</v>
      </c>
      <c r="G41" s="17">
        <f>IFERROR(VLOOKUP(B41,Appraisals!A:C,3,FALSE),0)</f>
        <v>0.95180722891566261</v>
      </c>
      <c r="H41" s="24">
        <f>IFERROR(VLOOKUP(B41,'Previous Dashboard'!B:CR,6,FALSE),0)</f>
        <v>0.97530864197530864</v>
      </c>
      <c r="I41" s="63">
        <f>IF(G41&gt;=Benchmark!E$4,1,0)</f>
        <v>1</v>
      </c>
      <c r="J41" s="59">
        <f t="shared" si="12"/>
        <v>0.81535315574223499</v>
      </c>
      <c r="K41" s="91">
        <f t="shared" si="13"/>
        <v>0.79606553594092533</v>
      </c>
      <c r="L41" s="63">
        <f>IF(J41&gt;=Benchmark!G$4,1,0)</f>
        <v>0</v>
      </c>
      <c r="M41" s="51">
        <f>IFERROR(VLOOKUP(B41,Stress!A:D,4,FALSE),"-")</f>
        <v>1.5773335489531401E-2</v>
      </c>
      <c r="N41" s="60">
        <f>IFERROR(VLOOKUP(B41,'Previous Dashboard'!B:CR,12,FALSE),0)</f>
        <v>2.10693007747089E-2</v>
      </c>
      <c r="O41" s="52">
        <f>IFERROR(VLOOKUP(B41,'Musculo Skeletal'!A:D,4,FALSE),"-")</f>
        <v>1.5675551217695599E-3</v>
      </c>
      <c r="P41" s="43">
        <f>IFERROR(VLOOKUP(B41,'Previous Dashboard'!B:CR,14,FALSE),0)</f>
        <v>9.4684950088135203E-5</v>
      </c>
      <c r="Q41" s="52">
        <f>IFERROR(VLOOKUP(B41,'All Sickness'!A:D,4,FALSE),"-")</f>
        <v>5.3656514369947401E-2</v>
      </c>
      <c r="R41" s="43">
        <f>IFERROR(VLOOKUP(B41,'Previous Dashboard'!B:CR,16,FALSE),0)</f>
        <v>6.4469569815556002E-2</v>
      </c>
      <c r="S41" s="63">
        <f>IF(Q41&lt;=Benchmark!K$4,1,0)</f>
        <v>0</v>
      </c>
      <c r="T41" s="44">
        <f>IFERROR(VLOOKUP(B41,LT.ST!A:C,3,FALSE),"-")</f>
        <v>2.7095149945035198E-2</v>
      </c>
      <c r="U41" s="43">
        <f>IFERROR(VLOOKUP(B41,'Previous Dashboard'!B:CR,19,FALSE),0)</f>
        <v>3.5970145009584502E-2</v>
      </c>
      <c r="V41" s="42">
        <f>IFERROR(VLOOKUP(B41,Turnover!A:C,2,FALSE),0)</f>
        <v>2.83018867924528E-2</v>
      </c>
      <c r="W41" s="60">
        <f>IFERROR(VLOOKUP(B41,'Previous Dashboard'!B:CR,21,FALSE),0)</f>
        <v>2.8846153846153799E-2</v>
      </c>
      <c r="X41" s="63">
        <f>IF(V41&lt;=Benchmark!N$4,1,0)</f>
        <v>1</v>
      </c>
      <c r="Y41" s="159">
        <f>IFERROR(VLOOKUP(B41,Leavers!A:I,6,FALSE),0)</f>
        <v>3</v>
      </c>
      <c r="Z41" s="247">
        <f t="shared" si="14"/>
        <v>1</v>
      </c>
      <c r="AA41" s="298">
        <f>IFERROR(VLOOKUP(B41,'Previous Dashboard'!B:CR,25,FALSE),0)</f>
        <v>1</v>
      </c>
      <c r="AB41" s="188">
        <f>IFERROR(VLOOKUP(VLOOKUP($B41,'Pulse Mapping'!$A:$C,3,FALSE),'Pulse Survey'!$A:$J,2,FALSE),0)</f>
        <v>16</v>
      </c>
      <c r="AC41" s="25">
        <f>IFERROR(VLOOKUP(B41,'Previous Dashboard'!B:CR,27,FALSE),0)</f>
        <v>12</v>
      </c>
      <c r="AD41" s="362">
        <f t="shared" si="15"/>
        <v>0.11594202898550725</v>
      </c>
      <c r="AE41" s="408">
        <f>IFERROR(VLOOKUP(B41,'Staff Engagement'!A:E,5,FALSE),0)</f>
        <v>6.9097222222222223</v>
      </c>
      <c r="AF41" s="409">
        <f>IFERROR(VLOOKUP(B41,'Previous Dashboard'!B:CQ,30,FALSE),0)</f>
        <v>7.916666666666667</v>
      </c>
      <c r="AG41" s="112">
        <f>IFERROR(VLOOKUP(B41,'Staff Engagement'!A:E,2,FALSE),0)</f>
        <v>7.03125</v>
      </c>
      <c r="AH41" s="409">
        <f>IFERROR(VLOOKUP(B41,'Previous Dashboard'!B:CQ,32,FALSE),0)</f>
        <v>7.708333333333333</v>
      </c>
      <c r="AI41" s="112">
        <f>IFERROR(VLOOKUP(B41,'Staff Engagement'!A:E,3,FALSE),0)</f>
        <v>6.979166666666667</v>
      </c>
      <c r="AJ41" s="409">
        <f>IFERROR(VLOOKUP(B41,'Previous Dashboard'!B:CQ,34,FALSE),0)</f>
        <v>7.9861111111111107</v>
      </c>
      <c r="AK41" s="112">
        <f>IFERROR(VLOOKUP(B41,'Staff Engagement'!A:E,4,FALSE),0)</f>
        <v>6.71875</v>
      </c>
      <c r="AL41" s="271">
        <f>IFERROR(VLOOKUP(B41,'Previous Dashboard'!B:CQ,36,FALSE),0)</f>
        <v>8.0555555555555554</v>
      </c>
      <c r="AM41" s="386">
        <f>IFERROR(VLOOKUP(B41,'Patient Experience'!A:K,9,FALSE),0)</f>
        <v>1</v>
      </c>
      <c r="AN41" s="60">
        <f>IFERROR(VLOOKUP(VLOOKUP($B41,'Pulse Mapping'!$A:$C,3,FALSE),'Pulse Survey'!$A:$J,'Pulse Survey'!C$1,FALSE),0)</f>
        <v>0.3125</v>
      </c>
      <c r="AO41" s="63" cm="1">
        <f t="array" ref="AO41">_xlfn.IFS(AN41 = "-",0,AN41 &gt;=Benchmark!R$4,1,AN41&lt;Benchmark!R$4,0)</f>
        <v>0</v>
      </c>
      <c r="AP41" s="43">
        <f>IFERROR(VLOOKUP(B41,'Previous Dashboard'!B:CR,39,FALSE),0)</f>
        <v>0.83333333333333326</v>
      </c>
      <c r="AQ41" s="43">
        <f>IFERROR(VLOOKUP(VLOOKUP($B41,'Pulse Mapping'!$A:$C,3,FALSE),'Pulse Survey'!$A:$J,'Pulse Survey'!D$1,FALSE),0)</f>
        <v>0.8125</v>
      </c>
      <c r="AR41" s="63" cm="1">
        <f t="array" ref="AR41">_xlfn.IFS(AQ41 = "-",0,AQ41 &gt;=Benchmark!T$4,1,AQ41&lt;Benchmark!T$4,0)</f>
        <v>1</v>
      </c>
      <c r="AS41" s="24">
        <f>IFERROR(VLOOKUP(B41,'Previous Dashboard'!B:CR,42,FALSE),0)</f>
        <v>0.75</v>
      </c>
      <c r="AT41" s="43">
        <f>IFERROR(VLOOKUP(VLOOKUP($B41,'Pulse Mapping'!$A:$C,3,FALSE),'Pulse Survey'!$A:$J,'Pulse Survey'!E$1,FALSE),0)</f>
        <v>0.5625</v>
      </c>
      <c r="AU41" s="63" cm="1">
        <f t="array" ref="AU41">_xlfn.IFS(AT41 = "-",0,AT41 &gt;=Benchmark!V$4,1,AT41&lt;Benchmark!V$4,0)</f>
        <v>0</v>
      </c>
      <c r="AV41" s="24">
        <f>IFERROR(VLOOKUP(B41,'Previous Dashboard'!B:CR,45,FALSE),0)</f>
        <v>0.66666666666666674</v>
      </c>
      <c r="AW41" s="43">
        <f>IFERROR(VLOOKUP(VLOOKUP($B41,'Pulse Mapping'!$A:$C,3,FALSE),'Pulse Survey'!$A:$J,'Pulse Survey'!F$1,FALSE),0)</f>
        <v>0.4375</v>
      </c>
      <c r="AX41" s="63" cm="1">
        <f t="array" ref="AX41">_xlfn.IFS(AW41 = "-",0,AW41 &gt;=Benchmark!X$4,1,AW41&lt;Benchmark!X$4,0)</f>
        <v>0</v>
      </c>
      <c r="AY41" s="24">
        <f>IFERROR(VLOOKUP(B41,'Previous Dashboard'!B:CR,48,FALSE),0)</f>
        <v>0.91666666666666674</v>
      </c>
      <c r="AZ41" s="43">
        <f>IFERROR(VLOOKUP(VLOOKUP($B41,'Pulse Mapping'!$A:$C,3,FALSE),'Pulse Survey'!$A:$J,'Pulse Survey'!G$1,FALSE),0)</f>
        <v>0.625</v>
      </c>
      <c r="BA41" s="63" cm="1">
        <f t="array" ref="BA41">_xlfn.IFS(AZ41 = "-",0,AZ41 &gt;=Benchmark!Z$4,1,AZ41&lt;Benchmark!Z$4,0)</f>
        <v>0</v>
      </c>
      <c r="BB41" s="24">
        <f>IFERROR(VLOOKUP(B41,'Previous Dashboard'!B:CR,51,FALSE),0)</f>
        <v>0.91666666666666674</v>
      </c>
      <c r="BC41" s="43">
        <f>IFERROR(VLOOKUP(VLOOKUP($B41,'Pulse Mapping'!$A:$C,3,FALSE),'Pulse Survey'!$A:$J,'Pulse Survey'!H$1,FALSE),0)</f>
        <v>0.625</v>
      </c>
      <c r="BD41" s="63" cm="1">
        <f t="array" ref="BD41">_xlfn.IFS(BC41 = "-",0,BC41 &gt;=Benchmark!AB$4,1,BC41&lt;Benchmark!AB$4,0)</f>
        <v>0</v>
      </c>
      <c r="BE41" s="24">
        <f>IFERROR(VLOOKUP(B41,'Previous Dashboard'!B:CR,54,FALSE),0)</f>
        <v>1</v>
      </c>
      <c r="BF41" s="43">
        <f>IFERROR(VLOOKUP(VLOOKUP($B41,'Pulse Mapping'!$A:$C,3,FALSE),'Pulse Survey'!$A:$J,'Pulse Survey'!I$1,FALSE),0)</f>
        <v>0.6875</v>
      </c>
      <c r="BG41" s="63" cm="1">
        <f t="array" ref="BG41">_xlfn.IFS(BF41 = "-",0,BF41 &gt;=Benchmark!AD$4,1,BF41&lt;Benchmark!AD$4,0)</f>
        <v>1</v>
      </c>
      <c r="BH41" s="91">
        <f>IFERROR(VLOOKUP(B41,'Previous Dashboard'!B:CR,57,FALSE),0)</f>
        <v>1</v>
      </c>
      <c r="BI41" s="44">
        <f>IFERROR(VLOOKUP(VLOOKUP($B41,'Pulse Mapping'!$A:$C,3,FALSE),'Pulse Survey'!$A:$J,'Pulse Survey'!J$1,FALSE),0)</f>
        <v>0.5</v>
      </c>
      <c r="BJ41" s="63" cm="1">
        <f t="array" ref="BJ41">_xlfn.IFS(BI41 = "-",0,BI41 &gt;=Benchmark!AF$4,1,BI41&lt;Benchmark!AF$4,0)</f>
        <v>0</v>
      </c>
      <c r="BK41" s="145">
        <f>IFERROR(VLOOKUP(B41,'Previous Dashboard'!B:CR,60,FALSE),0)</f>
        <v>0.66666666666666674</v>
      </c>
      <c r="BL41" s="224">
        <f>SUM(AO41, AR41, AU41, AX41, BA41, BD41, BG41, BJ41)</f>
        <v>2</v>
      </c>
      <c r="BM41" s="325">
        <f>IFERROR(VLOOKUP(B41,'Previous Dashboard'!B:CR,63,FALSE),0)</f>
        <v>6</v>
      </c>
      <c r="BN41" s="285">
        <f t="shared" si="11"/>
        <v>3</v>
      </c>
      <c r="BO41" s="190">
        <f>IFERROR(VLOOKUP(B41,'Previous Dashboard'!B:CR,65,FALSE),0)</f>
        <v>7</v>
      </c>
      <c r="BP41" s="25">
        <f>IFERROR(VLOOKUP(B41,'Previous Dashboard'!B:CR,66,FALSE),0)</f>
        <v>1</v>
      </c>
      <c r="BQ41" s="288">
        <f>IFERROR(VLOOKUP(B41,'Previous Dashboard'!B:CR,67,FALSE),0)</f>
        <v>1</v>
      </c>
      <c r="BR41" s="99"/>
      <c r="BS41" s="403">
        <f>IFERROR(VLOOKUP(B41,'Staff Survey'!B:L,3,FALSE),"-")</f>
        <v>7.1</v>
      </c>
      <c r="BT41" s="401" t="s">
        <v>389</v>
      </c>
      <c r="BU41" s="136">
        <f>IFERROR(VLOOKUP(B41,'Staff Survey'!B:L,4,FALSE),"-")</f>
        <v>5.7</v>
      </c>
      <c r="BV41" s="399" t="s">
        <v>389</v>
      </c>
      <c r="BW41" s="403">
        <f>IFERROR(VLOOKUP(B41,'Staff Survey'!B:L,5,FALSE),"-")</f>
        <v>6.5</v>
      </c>
      <c r="BX41" s="402" t="s">
        <v>389</v>
      </c>
      <c r="BY41" s="403">
        <f>IFERROR(VLOOKUP(B41,'Staff Survey'!B:L,6,FALSE),"-")</f>
        <v>5.8</v>
      </c>
      <c r="BZ41" s="402" t="s">
        <v>389</v>
      </c>
      <c r="CA41" s="403">
        <f>IFERROR(VLOOKUP(B41,'Staff Survey'!B:L,7,FALSE),"-")</f>
        <v>5</v>
      </c>
      <c r="CB41" s="428" t="s">
        <v>389</v>
      </c>
      <c r="CC41" s="403">
        <f>IFERROR(VLOOKUP(B41,'Staff Survey'!B:L,8,FALSE),"-")</f>
        <v>5.3</v>
      </c>
      <c r="CD41" s="428" t="s">
        <v>389</v>
      </c>
      <c r="CE41" s="403">
        <f>IFERROR(VLOOKUP(B41,'Staff Survey'!B:L,9,FALSE),"-")</f>
        <v>6.2</v>
      </c>
      <c r="CF41" s="428" t="s">
        <v>389</v>
      </c>
      <c r="CG41" s="140">
        <f>IFERROR(VLOOKUP(B41,'Staff Survey'!B:L,10,FALSE),"-")</f>
        <v>6.8</v>
      </c>
      <c r="CH41" s="277">
        <v>7</v>
      </c>
      <c r="CI41" s="412">
        <f>IFERROR(VLOOKUP(B41,'Staff Survey'!B:L,11,FALSE),"-")</f>
        <v>5.7</v>
      </c>
      <c r="CJ41" s="111">
        <v>6.5</v>
      </c>
      <c r="CL41" s="119">
        <f>IFERROR(VLOOKUP(B41,'LfE . HR Ops . F2SU'!A:B,2,FALSE),0)</f>
        <v>23</v>
      </c>
      <c r="CM41" s="119">
        <f>IFERROR(VLOOKUP(B41,'Previous Dashboard'!B:CR,89,FALSE),0)</f>
        <v>34</v>
      </c>
      <c r="CN41" s="124"/>
      <c r="CO41" s="125"/>
      <c r="CP41" s="126"/>
      <c r="CQ41" s="126"/>
    </row>
    <row r="42" spans="1:95" x14ac:dyDescent="0.25">
      <c r="A42" s="654"/>
      <c r="B42" s="543" t="s">
        <v>67</v>
      </c>
      <c r="C42" s="310">
        <f>IFERROR(VLOOKUP(B42,'Staff In Post'!A:C,3,FALSE),0)</f>
        <v>219</v>
      </c>
      <c r="D42" s="246">
        <f>IFERROR(VLOOKUP(B42,'Mandatory Training'!A:C,3,FALSE),0)</f>
        <v>0.53768844221105527</v>
      </c>
      <c r="E42" s="24">
        <f>IFERROR(VLOOKUP(B42,'Previous Dashboard'!B:CR,3,FALSE),0)</f>
        <v>0.57978723404255317</v>
      </c>
      <c r="F42" s="63">
        <f>IF(D42&gt;=Benchmark!C$4,1,0)</f>
        <v>0</v>
      </c>
      <c r="G42" s="17">
        <f>IFERROR(VLOOKUP(B42,Appraisals!A:C,3,FALSE),0)</f>
        <v>0.87096774193548387</v>
      </c>
      <c r="H42" s="24">
        <f>IFERROR(VLOOKUP(B42,'Previous Dashboard'!B:CR,6,FALSE),0)</f>
        <v>0.87341772151898733</v>
      </c>
      <c r="I42" s="63">
        <f>IF(G42&gt;=Benchmark!E$4,1,0)</f>
        <v>0</v>
      </c>
      <c r="J42" s="59">
        <f t="shared" si="12"/>
        <v>0.70432809207326952</v>
      </c>
      <c r="K42" s="91">
        <f t="shared" si="13"/>
        <v>0.72660247778077025</v>
      </c>
      <c r="L42" s="63">
        <f>IF(J42&gt;=Benchmark!G$4,1,0)</f>
        <v>0</v>
      </c>
      <c r="M42" s="51">
        <f>IFERROR(VLOOKUP(B42,Stress!A:D,4,FALSE),"-")</f>
        <v>1.80286132896007E-2</v>
      </c>
      <c r="N42" s="60">
        <f>IFERROR(VLOOKUP(B42,'Previous Dashboard'!B:CR,12,FALSE),0)</f>
        <v>1.83315570312639E-2</v>
      </c>
      <c r="O42" s="52">
        <f>IFERROR(VLOOKUP(B42,'Musculo Skeletal'!A:D,4,FALSE),"-")</f>
        <v>6.5812509046415503E-3</v>
      </c>
      <c r="P42" s="43">
        <f>IFERROR(VLOOKUP(B42,'Previous Dashboard'!B:CR,14,FALSE),0)</f>
        <v>6.1096863294596796E-3</v>
      </c>
      <c r="Q42" s="52">
        <f>IFERROR(VLOOKUP(B42,'All Sickness'!A:D,4,FALSE),"-")</f>
        <v>8.2912888623551506E-2</v>
      </c>
      <c r="R42" s="43">
        <f>IFERROR(VLOOKUP(B42,'Previous Dashboard'!B:CR,16,FALSE),0)</f>
        <v>6.5466390653293502E-2</v>
      </c>
      <c r="S42" s="63">
        <f>IF(Q42&lt;=Benchmark!K$4,1,0)</f>
        <v>0</v>
      </c>
      <c r="T42" s="44">
        <f>IFERROR(VLOOKUP(B42,LT.ST!A:C,3,FALSE),"-")</f>
        <v>5.0081444101749098E-2</v>
      </c>
      <c r="U42" s="43">
        <f>IFERROR(VLOOKUP(B42,'Previous Dashboard'!B:CR,19,FALSE),0)</f>
        <v>3.1650238622932599E-2</v>
      </c>
      <c r="V42" s="42">
        <f>IFERROR(VLOOKUP(B42,Turnover!A:C,2,FALSE),0)</f>
        <v>2.48756218905473E-2</v>
      </c>
      <c r="W42" s="60">
        <f>IFERROR(VLOOKUP(B42,'Previous Dashboard'!B:CR,21,FALSE),0)</f>
        <v>2.04081632653061E-2</v>
      </c>
      <c r="X42" s="63">
        <f>IF(V42&lt;=Benchmark!N$4,1,0)</f>
        <v>1</v>
      </c>
      <c r="Y42" s="159">
        <f>IFERROR(VLOOKUP(B42,Leavers!A:I,6,FALSE),0)</f>
        <v>5</v>
      </c>
      <c r="Z42" s="247">
        <f t="shared" si="14"/>
        <v>1</v>
      </c>
      <c r="AA42" s="298">
        <f>IFERROR(VLOOKUP(B42,'Previous Dashboard'!B:CR,25,FALSE),0)</f>
        <v>1</v>
      </c>
      <c r="AB42" s="188">
        <f>IFERROR(VLOOKUP(VLOOKUP($B42,'Pulse Mapping'!$A:$C,3,FALSE),'Pulse Survey'!$A:$J,2,FALSE),0)</f>
        <v>29</v>
      </c>
      <c r="AC42" s="25">
        <f>IFERROR(VLOOKUP(B42,'Previous Dashboard'!B:CR,27,FALSE),0)</f>
        <v>56</v>
      </c>
      <c r="AD42" s="362">
        <f t="shared" si="15"/>
        <v>0.13242009132420091</v>
      </c>
      <c r="AE42" s="408">
        <f>IFERROR(VLOOKUP(B42,'Staff Engagement'!A:E,5,FALSE),0)</f>
        <v>6.1685823754789277</v>
      </c>
      <c r="AF42" s="409">
        <f>IFERROR(VLOOKUP(B42,'Previous Dashboard'!B:CQ,30,FALSE),0)</f>
        <v>6.2450396825396828</v>
      </c>
      <c r="AG42" s="112">
        <f>IFERROR(VLOOKUP(B42,'Staff Engagement'!A:E,2,FALSE),0)</f>
        <v>6.5804597701149428</v>
      </c>
      <c r="AH42" s="409">
        <f>IFERROR(VLOOKUP(B42,'Previous Dashboard'!B:CQ,32,FALSE),0)</f>
        <v>6.4732142857142856</v>
      </c>
      <c r="AI42" s="112">
        <f>IFERROR(VLOOKUP(B42,'Staff Engagement'!A:E,3,FALSE),0)</f>
        <v>5.3735632183908049</v>
      </c>
      <c r="AJ42" s="409">
        <f>IFERROR(VLOOKUP(B42,'Previous Dashboard'!B:CQ,34,FALSE),0)</f>
        <v>5.9375</v>
      </c>
      <c r="AK42" s="112">
        <f>IFERROR(VLOOKUP(B42,'Staff Engagement'!A:E,4,FALSE),0)</f>
        <v>6.5517241379310347</v>
      </c>
      <c r="AL42" s="271">
        <f>IFERROR(VLOOKUP(B42,'Previous Dashboard'!B:CQ,36,FALSE),0)</f>
        <v>6.3244047619047619</v>
      </c>
      <c r="AM42" s="386">
        <f>IFERROR(VLOOKUP(B42,'Patient Experience'!A:K,9,FALSE),0)</f>
        <v>0.96335078534031415</v>
      </c>
      <c r="AN42" s="60">
        <f>IFERROR(VLOOKUP(VLOOKUP($B42,'Pulse Mapping'!$A:$C,3,FALSE),'Pulse Survey'!$A:$J,'Pulse Survey'!C$1,FALSE),0)</f>
        <v>0.51724137931034475</v>
      </c>
      <c r="AO42" s="63" cm="1">
        <f t="array" ref="AO42">_xlfn.IFS(AN42 = "-",0,AN42 &gt;=Benchmark!R$4,1,AN42&lt;Benchmark!R$4,0)</f>
        <v>0</v>
      </c>
      <c r="AP42" s="43">
        <f>IFERROR(VLOOKUP(B42,'Previous Dashboard'!B:CR,39,FALSE),0)</f>
        <v>0.5357142857142857</v>
      </c>
      <c r="AQ42" s="43">
        <f>IFERROR(VLOOKUP(VLOOKUP($B42,'Pulse Mapping'!$A:$C,3,FALSE),'Pulse Survey'!$A:$J,'Pulse Survey'!D$1,FALSE),0)</f>
        <v>0.62068965517241381</v>
      </c>
      <c r="AR42" s="63" cm="1">
        <f t="array" ref="AR42">_xlfn.IFS(AQ42 = "-",0,AQ42 &gt;=Benchmark!T$4,1,AQ42&lt;Benchmark!T$4,0)</f>
        <v>0</v>
      </c>
      <c r="AS42" s="24">
        <f>IFERROR(VLOOKUP(B42,'Previous Dashboard'!B:CR,42,FALSE),0)</f>
        <v>0.6428571428571429</v>
      </c>
      <c r="AT42" s="43">
        <f>IFERROR(VLOOKUP(VLOOKUP($B42,'Pulse Mapping'!$A:$C,3,FALSE),'Pulse Survey'!$A:$J,'Pulse Survey'!E$1,FALSE),0)</f>
        <v>0.51724137931034486</v>
      </c>
      <c r="AU42" s="63" cm="1">
        <f t="array" ref="AU42">_xlfn.IFS(AT42 = "-",0,AT42 &gt;=Benchmark!V$4,1,AT42&lt;Benchmark!V$4,0)</f>
        <v>0</v>
      </c>
      <c r="AV42" s="24">
        <f>IFERROR(VLOOKUP(B42,'Previous Dashboard'!B:CR,45,FALSE),0)</f>
        <v>0.42857142857142855</v>
      </c>
      <c r="AW42" s="43">
        <f>IFERROR(VLOOKUP(VLOOKUP($B42,'Pulse Mapping'!$A:$C,3,FALSE),'Pulse Survey'!$A:$J,'Pulse Survey'!F$1,FALSE),0)</f>
        <v>0.55172413793103448</v>
      </c>
      <c r="AX42" s="63" cm="1">
        <f t="array" ref="AX42">_xlfn.IFS(AW42 = "-",0,AW42 &gt;=Benchmark!X$4,1,AW42&lt;Benchmark!X$4,0)</f>
        <v>0</v>
      </c>
      <c r="AY42" s="24">
        <f>IFERROR(VLOOKUP(B42,'Previous Dashboard'!B:CR,48,FALSE),0)</f>
        <v>0.5535714285714286</v>
      </c>
      <c r="AZ42" s="43">
        <f>IFERROR(VLOOKUP(VLOOKUP($B42,'Pulse Mapping'!$A:$C,3,FALSE),'Pulse Survey'!$A:$J,'Pulse Survey'!G$1,FALSE),0)</f>
        <v>0.72413793103448276</v>
      </c>
      <c r="BA42" s="63" cm="1">
        <f t="array" ref="BA42">_xlfn.IFS(AZ42 = "-",0,AZ42 &gt;=Benchmark!Z$4,1,AZ42&lt;Benchmark!Z$4,0)</f>
        <v>1</v>
      </c>
      <c r="BB42" s="24">
        <f>IFERROR(VLOOKUP(B42,'Previous Dashboard'!B:CR,51,FALSE),0)</f>
        <v>0.85714285714285721</v>
      </c>
      <c r="BC42" s="43">
        <f>IFERROR(VLOOKUP(VLOOKUP($B42,'Pulse Mapping'!$A:$C,3,FALSE),'Pulse Survey'!$A:$J,'Pulse Survey'!H$1,FALSE),0)</f>
        <v>0.44827586206896552</v>
      </c>
      <c r="BD42" s="63" cm="1">
        <f t="array" ref="BD42">_xlfn.IFS(BC42 = "-",0,BC42 &gt;=Benchmark!AB$4,1,BC42&lt;Benchmark!AB$4,0)</f>
        <v>0</v>
      </c>
      <c r="BE42" s="24">
        <f>IFERROR(VLOOKUP(B42,'Previous Dashboard'!B:CR,54,FALSE),0)</f>
        <v>0.5357142857142857</v>
      </c>
      <c r="BF42" s="43">
        <f>IFERROR(VLOOKUP(VLOOKUP($B42,'Pulse Mapping'!$A:$C,3,FALSE),'Pulse Survey'!$A:$J,'Pulse Survey'!I$1,FALSE),0)</f>
        <v>0.51724137931034475</v>
      </c>
      <c r="BG42" s="63" cm="1">
        <f t="array" ref="BG42">_xlfn.IFS(BF42 = "-",0,BF42 &gt;=Benchmark!AD$4,1,BF42&lt;Benchmark!AD$4,0)</f>
        <v>0</v>
      </c>
      <c r="BH42" s="91">
        <f>IFERROR(VLOOKUP(B42,'Previous Dashboard'!B:CR,57,FALSE),0)</f>
        <v>0.5892857142857143</v>
      </c>
      <c r="BI42" s="44">
        <f>IFERROR(VLOOKUP(VLOOKUP($B42,'Pulse Mapping'!$A:$C,3,FALSE),'Pulse Survey'!$A:$J,'Pulse Survey'!J$1,FALSE),0)</f>
        <v>0.5862068965517242</v>
      </c>
      <c r="BJ42" s="63" cm="1">
        <f t="array" ref="BJ42">_xlfn.IFS(BI42 = "-",0,BI42 &gt;=Benchmark!AF$4,1,BI42&lt;Benchmark!AF$4,0)</f>
        <v>0</v>
      </c>
      <c r="BK42" s="145">
        <f>IFERROR(VLOOKUP(B42,'Previous Dashboard'!B:CR,60,FALSE),0)</f>
        <v>0.7142857142857143</v>
      </c>
      <c r="BL42" s="224">
        <f t="shared" ref="BL42:BL48" si="16">SUM(AO42, AR42, AU42, AX42, BA42, BD42, BG42, BJ42)</f>
        <v>1</v>
      </c>
      <c r="BM42" s="325">
        <f>IFERROR(VLOOKUP(B42,'Previous Dashboard'!B:CR,63,FALSE),0)</f>
        <v>2</v>
      </c>
      <c r="BN42" s="285">
        <f t="shared" si="11"/>
        <v>2</v>
      </c>
      <c r="BO42" s="190">
        <f>IFERROR(VLOOKUP(B42,'Previous Dashboard'!B:CR,65,FALSE),0)</f>
        <v>3</v>
      </c>
      <c r="BP42" s="25">
        <f>IFERROR(VLOOKUP(B42,'Previous Dashboard'!B:CR,66,FALSE),0)</f>
        <v>1</v>
      </c>
      <c r="BQ42" s="288">
        <f>IFERROR(VLOOKUP(B42,'Previous Dashboard'!B:CR,67,FALSE),0)</f>
        <v>3</v>
      </c>
      <c r="BR42" s="99"/>
      <c r="BS42" s="403">
        <f>IFERROR(VLOOKUP(B42,'Staff Survey'!B:L,3,FALSE),"-")</f>
        <v>6.7</v>
      </c>
      <c r="BT42" s="401" t="s">
        <v>389</v>
      </c>
      <c r="BU42" s="136">
        <f>IFERROR(VLOOKUP(B42,'Staff Survey'!B:L,4,FALSE),"-")</f>
        <v>5.0999999999999996</v>
      </c>
      <c r="BV42" s="399" t="s">
        <v>389</v>
      </c>
      <c r="BW42" s="403">
        <f>IFERROR(VLOOKUP(B42,'Staff Survey'!B:L,5,FALSE),"-")</f>
        <v>6.3</v>
      </c>
      <c r="BX42" s="402" t="s">
        <v>389</v>
      </c>
      <c r="BY42" s="403">
        <f>IFERROR(VLOOKUP(B42,'Staff Survey'!B:L,6,FALSE),"-")</f>
        <v>4.5</v>
      </c>
      <c r="BZ42" s="402" t="s">
        <v>389</v>
      </c>
      <c r="CA42" s="403">
        <f>IFERROR(VLOOKUP(B42,'Staff Survey'!B:L,7,FALSE),"-")</f>
        <v>4.8</v>
      </c>
      <c r="CB42" s="428" t="s">
        <v>389</v>
      </c>
      <c r="CC42" s="403">
        <f>IFERROR(VLOOKUP(B42,'Staff Survey'!B:L,8,FALSE),"-")</f>
        <v>3.3</v>
      </c>
      <c r="CD42" s="428" t="s">
        <v>389</v>
      </c>
      <c r="CE42" s="403">
        <f>IFERROR(VLOOKUP(B42,'Staff Survey'!B:L,9,FALSE),"-")</f>
        <v>5.6</v>
      </c>
      <c r="CF42" s="428" t="s">
        <v>389</v>
      </c>
      <c r="CG42" s="140">
        <f>IFERROR(VLOOKUP(B42,'Staff Survey'!B:L,10,FALSE),"-")</f>
        <v>6.2</v>
      </c>
      <c r="CH42" s="277">
        <v>6.4</v>
      </c>
      <c r="CI42" s="412">
        <f>IFERROR(VLOOKUP(B42,'Staff Survey'!B:L,11,FALSE),"-")</f>
        <v>4.3</v>
      </c>
      <c r="CJ42" s="111">
        <v>5.4</v>
      </c>
      <c r="CL42" s="119">
        <f>IFERROR(VLOOKUP(B42,'LfE . HR Ops . F2SU'!A:B,2,FALSE),0)</f>
        <v>90</v>
      </c>
      <c r="CM42" s="119">
        <f>IFERROR(VLOOKUP(B42,'Previous Dashboard'!B:CR,89,FALSE),0)</f>
        <v>109</v>
      </c>
      <c r="CN42" s="124"/>
      <c r="CO42" s="125"/>
      <c r="CP42" s="126"/>
      <c r="CQ42" s="126"/>
    </row>
    <row r="43" spans="1:95" ht="15.75" thickBot="1" x14ac:dyDescent="0.3">
      <c r="A43" s="655"/>
      <c r="B43" s="543" t="s">
        <v>68</v>
      </c>
      <c r="C43" s="310">
        <f>IFERROR(VLOOKUP(B43,'Staff In Post'!A:C,3,FALSE),0)</f>
        <v>154</v>
      </c>
      <c r="D43" s="246">
        <f>IFERROR(VLOOKUP(B43,'Mandatory Training'!A:C,3,FALSE),0)</f>
        <v>0.52713178294573648</v>
      </c>
      <c r="E43" s="24">
        <f>IFERROR(VLOOKUP(B43,'Previous Dashboard'!B:CR,3,FALSE),0)</f>
        <v>0.3902439024390244</v>
      </c>
      <c r="F43" s="63">
        <f>IF(D43&gt;=Benchmark!C$4,1,0)</f>
        <v>0</v>
      </c>
      <c r="G43" s="17">
        <f>IFERROR(VLOOKUP(B43,Appraisals!A:C,3,FALSE),0)</f>
        <v>0.92708333333333337</v>
      </c>
      <c r="H43" s="24">
        <f>IFERROR(VLOOKUP(B43,'Previous Dashboard'!B:CR,6,FALSE),0)</f>
        <v>0.77659574468085102</v>
      </c>
      <c r="I43" s="63">
        <f>IF(G43&gt;=Benchmark!E$4,1,0)</f>
        <v>1</v>
      </c>
      <c r="J43" s="59">
        <f t="shared" si="12"/>
        <v>0.72710755813953498</v>
      </c>
      <c r="K43" s="91">
        <f t="shared" si="13"/>
        <v>0.58341982355993771</v>
      </c>
      <c r="L43" s="63">
        <f>IF(J43&gt;=Benchmark!G$4,1,0)</f>
        <v>0</v>
      </c>
      <c r="M43" s="51">
        <f>IFERROR(VLOOKUP(B43,Stress!A:D,4,FALSE),"-")</f>
        <v>1.2195166939865601E-2</v>
      </c>
      <c r="N43" s="60">
        <f>IFERROR(VLOOKUP(B43,'Previous Dashboard'!B:CR,12,FALSE),0)</f>
        <v>8.5978695777342191E-3</v>
      </c>
      <c r="O43" s="52">
        <f>IFERROR(VLOOKUP(B43,'Musculo Skeletal'!A:D,4,FALSE),"-")</f>
        <v>1.59991578716945E-3</v>
      </c>
      <c r="P43" s="43">
        <f>IFERROR(VLOOKUP(B43,'Previous Dashboard'!B:CR,14,FALSE),0)</f>
        <v>1.6892675779973301E-3</v>
      </c>
      <c r="Q43" s="52">
        <f>IFERROR(VLOOKUP(B43,'All Sickness'!A:D,4,FALSE),"-")</f>
        <v>5.6215878085507598E-2</v>
      </c>
      <c r="R43" s="43">
        <f>IFERROR(VLOOKUP(B43,'Previous Dashboard'!B:CR,16,FALSE),0)</f>
        <v>5.4603611799183202E-2</v>
      </c>
      <c r="S43" s="63">
        <f>IF(Q43&lt;=Benchmark!K$4,1,0)</f>
        <v>0</v>
      </c>
      <c r="T43" s="44">
        <f>IFERROR(VLOOKUP(B43,LT.ST!A:C,3,FALSE),"-")</f>
        <v>2.8223537589712001E-2</v>
      </c>
      <c r="U43" s="43">
        <f>IFERROR(VLOOKUP(B43,'Previous Dashboard'!B:CR,19,FALSE),0)</f>
        <v>2.3460622609860603E-2</v>
      </c>
      <c r="V43" s="42">
        <f>IFERROR(VLOOKUP(B43,Turnover!A:C,2,FALSE),0)</f>
        <v>2.2140221402214E-2</v>
      </c>
      <c r="W43" s="60">
        <f>IFERROR(VLOOKUP(B43,'Previous Dashboard'!B:CR,21,FALSE),0)</f>
        <v>1.5209125475285201E-2</v>
      </c>
      <c r="X43" s="63">
        <f>IF(V43&lt;=Benchmark!N$4,1,0)</f>
        <v>1</v>
      </c>
      <c r="Y43" s="159">
        <f>IFERROR(VLOOKUP(B43,Leavers!A:I,6,FALSE),0)</f>
        <v>3</v>
      </c>
      <c r="Z43" s="247">
        <f t="shared" si="14"/>
        <v>1</v>
      </c>
      <c r="AA43" s="298">
        <f>IFERROR(VLOOKUP(B43,'Previous Dashboard'!B:CR,25,FALSE),0)</f>
        <v>1</v>
      </c>
      <c r="AB43" s="188">
        <f>IFERROR(VLOOKUP(VLOOKUP($B43,'Pulse Mapping'!$A:$C,3,FALSE),'Pulse Survey'!$A:$J,2,FALSE),0)</f>
        <v>13</v>
      </c>
      <c r="AC43" s="25">
        <f>IFERROR(VLOOKUP(B43,'Previous Dashboard'!B:CR,27,FALSE),0)</f>
        <v>16</v>
      </c>
      <c r="AD43" s="362">
        <f t="shared" si="15"/>
        <v>8.4415584415584416E-2</v>
      </c>
      <c r="AE43" s="408">
        <f>IFERROR(VLOOKUP(B43,'Staff Engagement'!A:E,5,FALSE),0)</f>
        <v>6.9230769230769242</v>
      </c>
      <c r="AF43" s="409">
        <f>IFERROR(VLOOKUP(B43,'Previous Dashboard'!B:CQ,30,FALSE),0)</f>
        <v>7.0486111111111107</v>
      </c>
      <c r="AG43" s="112">
        <f>IFERROR(VLOOKUP(B43,'Staff Engagement'!A:E,2,FALSE),0)</f>
        <v>6.7948717948717947</v>
      </c>
      <c r="AH43" s="409">
        <f>IFERROR(VLOOKUP(B43,'Previous Dashboard'!B:CQ,32,FALSE),0)</f>
        <v>7.1875</v>
      </c>
      <c r="AI43" s="112">
        <f>IFERROR(VLOOKUP(B43,'Staff Engagement'!A:E,3,FALSE),0)</f>
        <v>6.6025641025641022</v>
      </c>
      <c r="AJ43" s="409">
        <f>IFERROR(VLOOKUP(B43,'Previous Dashboard'!B:CQ,34,FALSE),0)</f>
        <v>6.875</v>
      </c>
      <c r="AK43" s="112">
        <f>IFERROR(VLOOKUP(B43,'Staff Engagement'!A:E,4,FALSE),0)</f>
        <v>7.3717948717948714</v>
      </c>
      <c r="AL43" s="271">
        <f>IFERROR(VLOOKUP(B43,'Previous Dashboard'!B:CQ,36,FALSE),0)</f>
        <v>7.083333333333333</v>
      </c>
      <c r="AM43" s="386">
        <f>IFERROR(VLOOKUP(B43,'Patient Experience'!A:K,9,FALSE),0)</f>
        <v>1</v>
      </c>
      <c r="AN43" s="60">
        <f>IFERROR(VLOOKUP(VLOOKUP($B43,'Pulse Mapping'!$A:$C,3,FALSE),'Pulse Survey'!$A:$J,'Pulse Survey'!C$1,FALSE),0)</f>
        <v>0.61538461538461542</v>
      </c>
      <c r="AO43" s="63" cm="1">
        <f t="array" ref="AO43">_xlfn.IFS(AN43 = "-",0,AN43 &gt;=Benchmark!R$4,1,AN43&lt;Benchmark!R$4,0)</f>
        <v>0</v>
      </c>
      <c r="AP43" s="43">
        <f>IFERROR(VLOOKUP(B43,'Previous Dashboard'!B:CR,39,FALSE),0)</f>
        <v>0.625</v>
      </c>
      <c r="AQ43" s="43">
        <f>IFERROR(VLOOKUP(VLOOKUP($B43,'Pulse Mapping'!$A:$C,3,FALSE),'Pulse Survey'!$A:$J,'Pulse Survey'!D$1,FALSE),0)</f>
        <v>0.76923076923076916</v>
      </c>
      <c r="AR43" s="63" cm="1">
        <f t="array" ref="AR43">_xlfn.IFS(AQ43 = "-",0,AQ43 &gt;=Benchmark!T$4,1,AQ43&lt;Benchmark!T$4,0)</f>
        <v>1</v>
      </c>
      <c r="AS43" s="24">
        <f>IFERROR(VLOOKUP(B43,'Previous Dashboard'!B:CR,42,FALSE),0)</f>
        <v>0.625</v>
      </c>
      <c r="AT43" s="43">
        <f>IFERROR(VLOOKUP(VLOOKUP($B43,'Pulse Mapping'!$A:$C,3,FALSE),'Pulse Survey'!$A:$J,'Pulse Survey'!E$1,FALSE),0)</f>
        <v>0.61538461538461542</v>
      </c>
      <c r="AU43" s="63" cm="1">
        <f t="array" ref="AU43">_xlfn.IFS(AT43 = "-",0,AT43 &gt;=Benchmark!V$4,1,AT43&lt;Benchmark!V$4,0)</f>
        <v>0</v>
      </c>
      <c r="AV43" s="24">
        <f>IFERROR(VLOOKUP(B43,'Previous Dashboard'!B:CR,45,FALSE),0)</f>
        <v>0.4375</v>
      </c>
      <c r="AW43" s="43">
        <f>IFERROR(VLOOKUP(VLOOKUP($B43,'Pulse Mapping'!$A:$C,3,FALSE),'Pulse Survey'!$A:$J,'Pulse Survey'!F$1,FALSE),0)</f>
        <v>0.61538461538461542</v>
      </c>
      <c r="AX43" s="63" cm="1">
        <f t="array" ref="AX43">_xlfn.IFS(AW43 = "-",0,AW43 &gt;=Benchmark!X$4,1,AW43&lt;Benchmark!X$4,0)</f>
        <v>0</v>
      </c>
      <c r="AY43" s="24">
        <f>IFERROR(VLOOKUP(B43,'Previous Dashboard'!B:CR,48,FALSE),0)</f>
        <v>0.75</v>
      </c>
      <c r="AZ43" s="43">
        <f>IFERROR(VLOOKUP(VLOOKUP($B43,'Pulse Mapping'!$A:$C,3,FALSE),'Pulse Survey'!$A:$J,'Pulse Survey'!G$1,FALSE),0)</f>
        <v>0.76923076923076927</v>
      </c>
      <c r="BA43" s="63" cm="1">
        <f t="array" ref="BA43">_xlfn.IFS(AZ43 = "-",0,AZ43 &gt;=Benchmark!Z$4,1,AZ43&lt;Benchmark!Z$4,0)</f>
        <v>1</v>
      </c>
      <c r="BB43" s="24">
        <f>IFERROR(VLOOKUP(B43,'Previous Dashboard'!B:CR,51,FALSE),0)</f>
        <v>0.8125</v>
      </c>
      <c r="BC43" s="43">
        <f>IFERROR(VLOOKUP(VLOOKUP($B43,'Pulse Mapping'!$A:$C,3,FALSE),'Pulse Survey'!$A:$J,'Pulse Survey'!H$1,FALSE),0)</f>
        <v>0.76923076923076927</v>
      </c>
      <c r="BD43" s="63" cm="1">
        <f t="array" ref="BD43">_xlfn.IFS(BC43 = "-",0,BC43 &gt;=Benchmark!AB$4,1,BC43&lt;Benchmark!AB$4,0)</f>
        <v>1</v>
      </c>
      <c r="BE43" s="24">
        <f>IFERROR(VLOOKUP(B43,'Previous Dashboard'!B:CR,54,FALSE),0)</f>
        <v>0.8125</v>
      </c>
      <c r="BF43" s="43">
        <f>IFERROR(VLOOKUP(VLOOKUP($B43,'Pulse Mapping'!$A:$C,3,FALSE),'Pulse Survey'!$A:$J,'Pulse Survey'!I$1,FALSE),0)</f>
        <v>0.61538461538461542</v>
      </c>
      <c r="BG43" s="63" cm="1">
        <f t="array" ref="BG43">_xlfn.IFS(BF43 = "-",0,BF43 &gt;=Benchmark!AD$4,1,BF43&lt;Benchmark!AD$4,0)</f>
        <v>0</v>
      </c>
      <c r="BH43" s="91">
        <f>IFERROR(VLOOKUP(B43,'Previous Dashboard'!B:CR,57,FALSE),0)</f>
        <v>0.875</v>
      </c>
      <c r="BI43" s="44">
        <f>IFERROR(VLOOKUP(VLOOKUP($B43,'Pulse Mapping'!$A:$C,3,FALSE),'Pulse Survey'!$A:$J,'Pulse Survey'!J$1,FALSE),0)</f>
        <v>0.53846153846153855</v>
      </c>
      <c r="BJ43" s="63" cm="1">
        <f t="array" ref="BJ43">_xlfn.IFS(BI43 = "-",0,BI43 &gt;=Benchmark!AF$4,1,BI43&lt;Benchmark!AF$4,0)</f>
        <v>0</v>
      </c>
      <c r="BK43" s="145">
        <f>IFERROR(VLOOKUP(B43,'Previous Dashboard'!B:CR,60,FALSE),0)</f>
        <v>0.5625</v>
      </c>
      <c r="BL43" s="224">
        <f t="shared" si="16"/>
        <v>3</v>
      </c>
      <c r="BM43" s="325">
        <f>IFERROR(VLOOKUP(B43,'Previous Dashboard'!B:CR,63,FALSE),0)</f>
        <v>4</v>
      </c>
      <c r="BN43" s="285">
        <f t="shared" si="11"/>
        <v>4</v>
      </c>
      <c r="BO43" s="190">
        <f>IFERROR(VLOOKUP(B43,'Previous Dashboard'!B:CR,65,FALSE),0)</f>
        <v>5</v>
      </c>
      <c r="BP43" s="25">
        <f>IFERROR(VLOOKUP(B43,'Previous Dashboard'!B:CR,66,FALSE),0)</f>
        <v>1</v>
      </c>
      <c r="BQ43" s="288">
        <f>IFERROR(VLOOKUP(B43,'Previous Dashboard'!B:CR,67,FALSE),0)</f>
        <v>8</v>
      </c>
      <c r="BR43" s="99"/>
      <c r="BS43" s="403">
        <f>IFERROR(VLOOKUP(B43,'Staff Survey'!B:L,3,FALSE),"-")</f>
        <v>7.4</v>
      </c>
      <c r="BT43" s="401" t="s">
        <v>389</v>
      </c>
      <c r="BU43" s="136">
        <f>IFERROR(VLOOKUP(B43,'Staff Survey'!B:L,4,FALSE),"-")</f>
        <v>6.1</v>
      </c>
      <c r="BV43" s="399" t="s">
        <v>389</v>
      </c>
      <c r="BW43" s="403">
        <f>IFERROR(VLOOKUP(B43,'Staff Survey'!B:L,5,FALSE),"-")</f>
        <v>6.8</v>
      </c>
      <c r="BX43" s="402" t="s">
        <v>389</v>
      </c>
      <c r="BY43" s="403">
        <f>IFERROR(VLOOKUP(B43,'Staff Survey'!B:L,6,FALSE),"-")</f>
        <v>5.9</v>
      </c>
      <c r="BZ43" s="402" t="s">
        <v>389</v>
      </c>
      <c r="CA43" s="403">
        <f>IFERROR(VLOOKUP(B43,'Staff Survey'!B:L,7,FALSE),"-")</f>
        <v>5.6</v>
      </c>
      <c r="CB43" s="428" t="s">
        <v>389</v>
      </c>
      <c r="CC43" s="403">
        <f>IFERROR(VLOOKUP(B43,'Staff Survey'!B:L,8,FALSE),"-")</f>
        <v>6</v>
      </c>
      <c r="CD43" s="428" t="s">
        <v>389</v>
      </c>
      <c r="CE43" s="403">
        <f>IFERROR(VLOOKUP(B43,'Staff Survey'!B:L,9,FALSE),"-")</f>
        <v>6.6</v>
      </c>
      <c r="CF43" s="428" t="s">
        <v>389</v>
      </c>
      <c r="CG43" s="140">
        <f>IFERROR(VLOOKUP(B43,'Staff Survey'!B:L,10,FALSE),"-")</f>
        <v>6.8</v>
      </c>
      <c r="CH43" s="277">
        <v>7.2</v>
      </c>
      <c r="CI43" s="412">
        <f>IFERROR(VLOOKUP(B43,'Staff Survey'!B:L,11,FALSE),"-")</f>
        <v>5.7</v>
      </c>
      <c r="CJ43" s="111">
        <v>6.8</v>
      </c>
      <c r="CL43" s="119">
        <f>IFERROR(VLOOKUP(B43,'LfE . HR Ops . F2SU'!A:B,2,FALSE),0)</f>
        <v>8</v>
      </c>
      <c r="CM43" s="119">
        <f>IFERROR(VLOOKUP(B43,'Previous Dashboard'!B:CR,89,FALSE),0)</f>
        <v>18</v>
      </c>
      <c r="CN43" s="124"/>
      <c r="CO43" s="125"/>
      <c r="CP43" s="126"/>
      <c r="CQ43" s="126"/>
    </row>
    <row r="44" spans="1:95" ht="15" customHeight="1" x14ac:dyDescent="0.25">
      <c r="A44" s="650" t="s">
        <v>297</v>
      </c>
      <c r="B44" s="543" t="s">
        <v>7</v>
      </c>
      <c r="C44" s="310">
        <f>IFERROR(VLOOKUP(B44,'Staff In Post'!A:C,3,FALSE),0)</f>
        <v>230</v>
      </c>
      <c r="D44" s="246">
        <f>IFERROR(VLOOKUP(B44,'Mandatory Training'!A:C,3,FALSE),0)</f>
        <v>0.84651162790697676</v>
      </c>
      <c r="E44" s="24">
        <f>IFERROR(VLOOKUP(B44,'Previous Dashboard'!B:CR,3,FALSE),0)</f>
        <v>0.84722222222222221</v>
      </c>
      <c r="F44" s="63">
        <f>IF(D44&gt;=Benchmark!C$4,1,0)</f>
        <v>0</v>
      </c>
      <c r="G44" s="17">
        <f>IFERROR(VLOOKUP(B44,Appraisals!A:C,3,FALSE),0)</f>
        <v>0.89847715736040612</v>
      </c>
      <c r="H44" s="24">
        <f>IFERROR(VLOOKUP(B44,'Previous Dashboard'!B:CR,6,FALSE),0)</f>
        <v>0.86294416243654826</v>
      </c>
      <c r="I44" s="63">
        <f>IF(G44&gt;=Benchmark!E$4,1,0)</f>
        <v>0</v>
      </c>
      <c r="J44" s="59">
        <f t="shared" si="12"/>
        <v>0.87249439263369144</v>
      </c>
      <c r="K44" s="91">
        <f t="shared" si="13"/>
        <v>0.85508319232938523</v>
      </c>
      <c r="L44" s="63">
        <f>IF(J44&gt;=Benchmark!G$4,1,0)</f>
        <v>0</v>
      </c>
      <c r="M44" s="51">
        <f>IFERROR(VLOOKUP(B44,Stress!A:D,4,FALSE),"-")</f>
        <v>1.23816846909224E-2</v>
      </c>
      <c r="N44" s="60">
        <f>IFERROR(VLOOKUP(B44,'Previous Dashboard'!B:CR,12,FALSE),0)</f>
        <v>6.8023308933148697E-3</v>
      </c>
      <c r="O44" s="52">
        <f>IFERROR(VLOOKUP(B44,'Musculo Skeletal'!A:D,4,FALSE),"-")</f>
        <v>1.38039245725575E-2</v>
      </c>
      <c r="P44" s="43">
        <f>IFERROR(VLOOKUP(B44,'Previous Dashboard'!B:CR,14,FALSE),0)</f>
        <v>1.7381652211681899E-2</v>
      </c>
      <c r="Q44" s="52">
        <f>IFERROR(VLOOKUP(B44,'All Sickness'!A:D,4,FALSE),"-")</f>
        <v>7.1933625829011999E-2</v>
      </c>
      <c r="R44" s="43">
        <f>IFERROR(VLOOKUP(B44,'Previous Dashboard'!B:CR,16,FALSE),0)</f>
        <v>6.24041745346441E-2</v>
      </c>
      <c r="S44" s="63">
        <f>IF(Q44&lt;=Benchmark!K$4,1,0)</f>
        <v>0</v>
      </c>
      <c r="T44" s="44">
        <f>IFERROR(VLOOKUP(B44,LT.ST!A:C,3,FALSE),"-")</f>
        <v>3.6331823906064604E-2</v>
      </c>
      <c r="U44" s="43">
        <f>IFERROR(VLOOKUP(B44,'Previous Dashboard'!B:CR,19,FALSE),0)</f>
        <v>3.4117311207304199E-2</v>
      </c>
      <c r="V44" s="42">
        <f>IFERROR(VLOOKUP(B44,Turnover!A:C,2,FALSE),0)</f>
        <v>3.1319910514541402E-2</v>
      </c>
      <c r="W44" s="60">
        <f>IFERROR(VLOOKUP(B44,'Previous Dashboard'!B:CR,21,FALSE),0)</f>
        <v>1.7817371937639201E-2</v>
      </c>
      <c r="X44" s="63">
        <f>IF(V44&lt;=Benchmark!N$4,1,0)</f>
        <v>1</v>
      </c>
      <c r="Y44" s="159">
        <f>IFERROR(VLOOKUP(B44,Leavers!A:I,6,FALSE),0)</f>
        <v>7</v>
      </c>
      <c r="Z44" s="247">
        <f t="shared" si="14"/>
        <v>1</v>
      </c>
      <c r="AA44" s="298">
        <f>IFERROR(VLOOKUP(B44,'Previous Dashboard'!B:CR,25,FALSE),0)</f>
        <v>1</v>
      </c>
      <c r="AB44" s="188">
        <f>IFERROR(VLOOKUP(VLOOKUP($B44,'Pulse Mapping'!$A:$C,3,FALSE),'Pulse Survey'!$A:$J,2,FALSE),0)</f>
        <v>43</v>
      </c>
      <c r="AC44" s="25">
        <f>IFERROR(VLOOKUP(B44,'Previous Dashboard'!B:CR,27,FALSE),0)</f>
        <v>36</v>
      </c>
      <c r="AD44" s="362">
        <f t="shared" si="15"/>
        <v>0.18695652173913044</v>
      </c>
      <c r="AE44" s="408">
        <f>IFERROR(VLOOKUP(B44,'Staff Engagement'!A:E,5,FALSE),0)</f>
        <v>6.0077519379844961</v>
      </c>
      <c r="AF44" s="409">
        <f>IFERROR(VLOOKUP(B44,'Previous Dashboard'!B:CQ,30,FALSE),0)</f>
        <v>6.1342592592592595</v>
      </c>
      <c r="AG44" s="112">
        <f>IFERROR(VLOOKUP(B44,'Staff Engagement'!A:E,2,FALSE),0)</f>
        <v>6.6085271317829459</v>
      </c>
      <c r="AH44" s="409">
        <f>IFERROR(VLOOKUP(B44,'Previous Dashboard'!B:CQ,32,FALSE),0)</f>
        <v>6.7592592592592595</v>
      </c>
      <c r="AI44" s="112">
        <f>IFERROR(VLOOKUP(B44,'Staff Engagement'!A:E,3,FALSE),0)</f>
        <v>5.6782945736434112</v>
      </c>
      <c r="AJ44" s="409">
        <f>IFERROR(VLOOKUP(B44,'Previous Dashboard'!B:CQ,34,FALSE),0)</f>
        <v>5.6018518518518521</v>
      </c>
      <c r="AK44" s="112">
        <f>IFERROR(VLOOKUP(B44,'Staff Engagement'!A:E,4,FALSE),0)</f>
        <v>5.7364341085271322</v>
      </c>
      <c r="AL44" s="271">
        <f>IFERROR(VLOOKUP(B44,'Previous Dashboard'!B:CQ,36,FALSE),0)</f>
        <v>6.041666666666667</v>
      </c>
      <c r="AM44" s="388"/>
      <c r="AN44" s="60">
        <f>IFERROR(VLOOKUP(VLOOKUP($B44,'Pulse Mapping'!$A:$C,3,FALSE),'Pulse Survey'!$A:$J,'Pulse Survey'!C$1,FALSE),0)</f>
        <v>0.53488372093023262</v>
      </c>
      <c r="AO44" s="63" cm="1">
        <f t="array" ref="AO44">_xlfn.IFS(AN44 = "-",0,AN44 &gt;=Benchmark!R$4,1,AN44&lt;Benchmark!R$4,0)</f>
        <v>0</v>
      </c>
      <c r="AP44" s="43">
        <f>IFERROR(VLOOKUP(B44,'Previous Dashboard'!B:CR,39,FALSE),0)</f>
        <v>0.5</v>
      </c>
      <c r="AQ44" s="43">
        <f>IFERROR(VLOOKUP(VLOOKUP($B44,'Pulse Mapping'!$A:$C,3,FALSE),'Pulse Survey'!$A:$J,'Pulse Survey'!D$1,FALSE),0)</f>
        <v>0.72093023255813948</v>
      </c>
      <c r="AR44" s="63" cm="1">
        <f t="array" ref="AR44">_xlfn.IFS(AQ44 = "-",0,AQ44 &gt;=Benchmark!T$4,1,AQ44&lt;Benchmark!T$4,0)</f>
        <v>1</v>
      </c>
      <c r="AS44" s="24">
        <f>IFERROR(VLOOKUP(B44,'Previous Dashboard'!B:CR,42,FALSE),0)</f>
        <v>0.75</v>
      </c>
      <c r="AT44" s="43">
        <f>IFERROR(VLOOKUP(VLOOKUP($B44,'Pulse Mapping'!$A:$C,3,FALSE),'Pulse Survey'!$A:$J,'Pulse Survey'!E$1,FALSE),0)</f>
        <v>0.46511627906976744</v>
      </c>
      <c r="AU44" s="63" cm="1">
        <f t="array" ref="AU44">_xlfn.IFS(AT44 = "-",0,AT44 &gt;=Benchmark!V$4,1,AT44&lt;Benchmark!V$4,0)</f>
        <v>0</v>
      </c>
      <c r="AV44" s="24">
        <f>IFERROR(VLOOKUP(B44,'Previous Dashboard'!B:CR,45,FALSE),0)</f>
        <v>0.5</v>
      </c>
      <c r="AW44" s="43">
        <f>IFERROR(VLOOKUP(VLOOKUP($B44,'Pulse Mapping'!$A:$C,3,FALSE),'Pulse Survey'!$A:$J,'Pulse Survey'!F$1,FALSE),0)</f>
        <v>0.46511627906976744</v>
      </c>
      <c r="AX44" s="63" cm="1">
        <f t="array" ref="AX44">_xlfn.IFS(AW44 = "-",0,AW44 &gt;=Benchmark!X$4,1,AW44&lt;Benchmark!X$4,0)</f>
        <v>0</v>
      </c>
      <c r="AY44" s="24">
        <f>IFERROR(VLOOKUP(B44,'Previous Dashboard'!B:CR,48,FALSE),0)</f>
        <v>0.5</v>
      </c>
      <c r="AZ44" s="43">
        <f>IFERROR(VLOOKUP(VLOOKUP($B44,'Pulse Mapping'!$A:$C,3,FALSE),'Pulse Survey'!$A:$J,'Pulse Survey'!G$1,FALSE),0)</f>
        <v>0.60465116279069764</v>
      </c>
      <c r="BA44" s="63" cm="1">
        <f t="array" ref="BA44">_xlfn.IFS(AZ44 = "-",0,AZ44 &gt;=Benchmark!Z$4,1,AZ44&lt;Benchmark!Z$4,0)</f>
        <v>0</v>
      </c>
      <c r="BB44" s="24">
        <f>IFERROR(VLOOKUP(B44,'Previous Dashboard'!B:CR,51,FALSE),0)</f>
        <v>0.66666666666666663</v>
      </c>
      <c r="BC44" s="43">
        <f>IFERROR(VLOOKUP(VLOOKUP($B44,'Pulse Mapping'!$A:$C,3,FALSE),'Pulse Survey'!$A:$J,'Pulse Survey'!H$1,FALSE),0)</f>
        <v>0.51162790697674421</v>
      </c>
      <c r="BD44" s="63" cm="1">
        <f t="array" ref="BD44">_xlfn.IFS(BC44 = "-",0,BC44 &gt;=Benchmark!AB$4,1,BC44&lt;Benchmark!AB$4,0)</f>
        <v>0</v>
      </c>
      <c r="BE44" s="24">
        <f>IFERROR(VLOOKUP(B44,'Previous Dashboard'!B:CR,54,FALSE),0)</f>
        <v>0.5</v>
      </c>
      <c r="BF44" s="43">
        <f>IFERROR(VLOOKUP(VLOOKUP($B44,'Pulse Mapping'!$A:$C,3,FALSE),'Pulse Survey'!$A:$J,'Pulse Survey'!I$1,FALSE),0)</f>
        <v>0.62790697674418605</v>
      </c>
      <c r="BG44" s="63" cm="1">
        <f t="array" ref="BG44">_xlfn.IFS(BF44 = "-",0,BF44 &gt;=Benchmark!AD$4,1,BF44&lt;Benchmark!AD$4,0)</f>
        <v>0</v>
      </c>
      <c r="BH44" s="91">
        <f>IFERROR(VLOOKUP(B44,'Previous Dashboard'!B:CR,57,FALSE),0)</f>
        <v>0.61111111111111116</v>
      </c>
      <c r="BI44" s="44">
        <f>IFERROR(VLOOKUP(VLOOKUP($B44,'Pulse Mapping'!$A:$C,3,FALSE),'Pulse Survey'!$A:$J,'Pulse Survey'!J$1,FALSE),0)</f>
        <v>0.65116279069767435</v>
      </c>
      <c r="BJ44" s="63" cm="1">
        <f t="array" ref="BJ44">_xlfn.IFS(BI44 = "-",0,BI44 &gt;=Benchmark!AF$4,1,BI44&lt;Benchmark!AF$4,0)</f>
        <v>0</v>
      </c>
      <c r="BK44" s="145">
        <f>IFERROR(VLOOKUP(B44,'Previous Dashboard'!B:CR,60,FALSE),0)</f>
        <v>0.58333333333333326</v>
      </c>
      <c r="BL44" s="224">
        <f t="shared" si="16"/>
        <v>1</v>
      </c>
      <c r="BM44" s="325">
        <f>IFERROR(VLOOKUP(B44,'Previous Dashboard'!B:CR,63,FALSE),0)</f>
        <v>1</v>
      </c>
      <c r="BN44" s="285">
        <f t="shared" si="11"/>
        <v>2</v>
      </c>
      <c r="BO44" s="190">
        <f>IFERROR(VLOOKUP(B44,'Previous Dashboard'!B:CR,65,FALSE),0)</f>
        <v>2</v>
      </c>
      <c r="BP44" s="25">
        <f>IFERROR(VLOOKUP(B44,'Previous Dashboard'!B:CR,66,FALSE),0)</f>
        <v>3</v>
      </c>
      <c r="BQ44" s="288">
        <f>IFERROR(VLOOKUP(B44,'Previous Dashboard'!B:CR,67,FALSE),0)</f>
        <v>8</v>
      </c>
      <c r="BR44" s="99"/>
      <c r="BS44" s="403">
        <f>IFERROR(VLOOKUP(B44,'Staff Survey'!B:L,3,FALSE),"-")</f>
        <v>7.2</v>
      </c>
      <c r="BT44" s="401" t="s">
        <v>389</v>
      </c>
      <c r="BU44" s="136">
        <f>IFERROR(VLOOKUP(B44,'Staff Survey'!B:L,4,FALSE),"-")</f>
        <v>6.1</v>
      </c>
      <c r="BV44" s="399" t="s">
        <v>389</v>
      </c>
      <c r="BW44" s="403">
        <f>IFERROR(VLOOKUP(B44,'Staff Survey'!B:L,5,FALSE),"-")</f>
        <v>6.5</v>
      </c>
      <c r="BX44" s="402" t="s">
        <v>389</v>
      </c>
      <c r="BY44" s="403">
        <f>IFERROR(VLOOKUP(B44,'Staff Survey'!B:L,6,FALSE),"-")</f>
        <v>6.7</v>
      </c>
      <c r="BZ44" s="402" t="s">
        <v>389</v>
      </c>
      <c r="CA44" s="403">
        <f>IFERROR(VLOOKUP(B44,'Staff Survey'!B:L,7,FALSE),"-")</f>
        <v>5.4</v>
      </c>
      <c r="CB44" s="428" t="s">
        <v>389</v>
      </c>
      <c r="CC44" s="403">
        <f>IFERROR(VLOOKUP(B44,'Staff Survey'!B:L,8,FALSE),"-")</f>
        <v>6.4</v>
      </c>
      <c r="CD44" s="428" t="s">
        <v>389</v>
      </c>
      <c r="CE44" s="403">
        <f>IFERROR(VLOOKUP(B44,'Staff Survey'!B:L,9,FALSE),"-")</f>
        <v>6.6</v>
      </c>
      <c r="CF44" s="428" t="s">
        <v>389</v>
      </c>
      <c r="CG44" s="140">
        <f>IFERROR(VLOOKUP(B44,'Staff Survey'!B:L,10,FALSE),"-")</f>
        <v>6.8</v>
      </c>
      <c r="CH44" s="277">
        <v>7.2</v>
      </c>
      <c r="CI44" s="412">
        <f>IFERROR(VLOOKUP(B44,'Staff Survey'!B:L,11,FALSE),"-")</f>
        <v>6.2</v>
      </c>
      <c r="CJ44" s="111">
        <v>6.3</v>
      </c>
      <c r="CL44" s="119">
        <f>IFERROR(VLOOKUP(B44,'LfE . HR Ops . F2SU'!A:B,2,FALSE),0)</f>
        <v>14</v>
      </c>
      <c r="CM44" s="119">
        <f>IFERROR(VLOOKUP(B44,'Previous Dashboard'!B:CR,89,FALSE),0)</f>
        <v>7</v>
      </c>
      <c r="CN44" s="124"/>
      <c r="CO44" s="125"/>
      <c r="CP44" s="126"/>
      <c r="CQ44" s="126"/>
    </row>
    <row r="45" spans="1:95" x14ac:dyDescent="0.25">
      <c r="A45" s="651"/>
      <c r="B45" s="543" t="s">
        <v>8</v>
      </c>
      <c r="C45" s="310">
        <f>IFERROR(VLOOKUP(B45,'Staff In Post'!A:C,3,FALSE),0)</f>
        <v>416</v>
      </c>
      <c r="D45" s="246">
        <f>IFERROR(VLOOKUP(B45,'Mandatory Training'!A:C,3,FALSE),0)</f>
        <v>0.71962616822429903</v>
      </c>
      <c r="E45" s="24">
        <f>IFERROR(VLOOKUP(B45,'Previous Dashboard'!B:CR,3,FALSE),0)</f>
        <v>0.59934853420195444</v>
      </c>
      <c r="F45" s="63">
        <f>IF(D45&gt;=Benchmark!C$4,1,0)</f>
        <v>0</v>
      </c>
      <c r="G45" s="17">
        <f>IFERROR(VLOOKUP(B45,Appraisals!A:C,3,FALSE),0)</f>
        <v>0.88495575221238942</v>
      </c>
      <c r="H45" s="24">
        <f>IFERROR(VLOOKUP(B45,'Previous Dashboard'!B:CR,6,FALSE),0)</f>
        <v>0.87982832618025753</v>
      </c>
      <c r="I45" s="63">
        <f>IF(G45&gt;=Benchmark!E$4,1,0)</f>
        <v>0</v>
      </c>
      <c r="J45" s="59">
        <f t="shared" si="12"/>
        <v>0.80229096021834423</v>
      </c>
      <c r="K45" s="91">
        <f t="shared" si="13"/>
        <v>0.73958843019110598</v>
      </c>
      <c r="L45" s="63">
        <f>IF(J45&gt;=Benchmark!G$4,1,0)</f>
        <v>0</v>
      </c>
      <c r="M45" s="51">
        <f>IFERROR(VLOOKUP(B45,Stress!A:D,4,FALSE),"-")</f>
        <v>1.01149342014939E-2</v>
      </c>
      <c r="N45" s="60">
        <f>IFERROR(VLOOKUP(B45,'Previous Dashboard'!B:CR,12,FALSE),0)</f>
        <v>6.09598438681509E-3</v>
      </c>
      <c r="O45" s="52">
        <f>IFERROR(VLOOKUP(B45,'Musculo Skeletal'!A:D,4,FALSE),"-")</f>
        <v>3.9956727810890802E-3</v>
      </c>
      <c r="P45" s="43">
        <f>IFERROR(VLOOKUP(B45,'Previous Dashboard'!B:CR,14,FALSE),0)</f>
        <v>4.28944165175346E-3</v>
      </c>
      <c r="Q45" s="52">
        <f>IFERROR(VLOOKUP(B45,'All Sickness'!A:D,4,FALSE),"-")</f>
        <v>4.3776860746445802E-2</v>
      </c>
      <c r="R45" s="43">
        <f>IFERROR(VLOOKUP(B45,'Previous Dashboard'!B:CR,16,FALSE),0)</f>
        <v>4.3712889142841403E-2</v>
      </c>
      <c r="S45" s="63">
        <f>IF(Q45&lt;=Benchmark!K$4,1,0)</f>
        <v>0</v>
      </c>
      <c r="T45" s="44">
        <f>IFERROR(VLOOKUP(B45,LT.ST!A:C,3,FALSE),"-")</f>
        <v>1.93137092498731E-2</v>
      </c>
      <c r="U45" s="43">
        <f>IFERROR(VLOOKUP(B45,'Previous Dashboard'!B:CR,19,FALSE),0)</f>
        <v>1.0558040432279101E-2</v>
      </c>
      <c r="V45" s="42">
        <f>IFERROR(VLOOKUP(B45,Turnover!A:C,2,FALSE),0)</f>
        <v>3.7267080745341602E-2</v>
      </c>
      <c r="W45" s="60">
        <f>IFERROR(VLOOKUP(B45,'Previous Dashboard'!B:CR,21,FALSE),0)</f>
        <v>3.1545741324921099E-2</v>
      </c>
      <c r="X45" s="63">
        <f>IF(V45&lt;=Benchmark!N$4,1,0)</f>
        <v>1</v>
      </c>
      <c r="Y45" s="159">
        <f>IFERROR(VLOOKUP(B45,Leavers!A:I,6,FALSE),0)</f>
        <v>12</v>
      </c>
      <c r="Z45" s="247">
        <f t="shared" si="14"/>
        <v>1</v>
      </c>
      <c r="AA45" s="298">
        <f>IFERROR(VLOOKUP(B45,'Previous Dashboard'!B:CR,25,FALSE),0)</f>
        <v>1</v>
      </c>
      <c r="AB45" s="188">
        <f>IFERROR(VLOOKUP(VLOOKUP($B45,'Pulse Mapping'!$A:$C,3,FALSE),'Pulse Survey'!$A:$J,2,FALSE),0)</f>
        <v>45</v>
      </c>
      <c r="AC45" s="25">
        <f>IFERROR(VLOOKUP(B45,'Previous Dashboard'!B:CR,27,FALSE),0)</f>
        <v>53</v>
      </c>
      <c r="AD45" s="362">
        <f t="shared" si="15"/>
        <v>0.10817307692307693</v>
      </c>
      <c r="AE45" s="408">
        <f>IFERROR(VLOOKUP(B45,'Staff Engagement'!A:E,5,FALSE),0)</f>
        <v>6.2407407407407405</v>
      </c>
      <c r="AF45" s="409">
        <f>IFERROR(VLOOKUP(B45,'Previous Dashboard'!B:CQ,30,FALSE),0)</f>
        <v>6.6981132075471699</v>
      </c>
      <c r="AG45" s="112">
        <f>IFERROR(VLOOKUP(B45,'Staff Engagement'!A:E,2,FALSE),0)</f>
        <v>6.2592592592592595</v>
      </c>
      <c r="AH45" s="409">
        <f>IFERROR(VLOOKUP(B45,'Previous Dashboard'!B:CQ,32,FALSE),0)</f>
        <v>6.7138364779874218</v>
      </c>
      <c r="AI45" s="112">
        <f>IFERROR(VLOOKUP(B45,'Staff Engagement'!A:E,3,FALSE),0)</f>
        <v>6.0925925925925926</v>
      </c>
      <c r="AJ45" s="409">
        <f>IFERROR(VLOOKUP(B45,'Previous Dashboard'!B:CQ,34,FALSE),0)</f>
        <v>6.4150943396226419</v>
      </c>
      <c r="AK45" s="112">
        <f>IFERROR(VLOOKUP(B45,'Staff Engagement'!A:E,4,FALSE),0)</f>
        <v>6.3703703703703702</v>
      </c>
      <c r="AL45" s="271">
        <f>IFERROR(VLOOKUP(B45,'Previous Dashboard'!B:CQ,36,FALSE),0)</f>
        <v>6.9654088050314469</v>
      </c>
      <c r="AM45" s="386">
        <f>IFERROR(VLOOKUP(B45,'Patient Experience'!A:K,9,FALSE),0)</f>
        <v>1</v>
      </c>
      <c r="AN45" s="60">
        <f>IFERROR(VLOOKUP(VLOOKUP($B45,'Pulse Mapping'!$A:$C,3,FALSE),'Pulse Survey'!$A:$J,'Pulse Survey'!C$1,FALSE),0)</f>
        <v>0.4</v>
      </c>
      <c r="AO45" s="63" cm="1">
        <f t="array" ref="AO45">_xlfn.IFS(AN45 = "-",0,AN45 &gt;=Benchmark!R$4,1,AN45&lt;Benchmark!R$4,0)</f>
        <v>0</v>
      </c>
      <c r="AP45" s="43">
        <f>IFERROR(VLOOKUP(B45,'Previous Dashboard'!B:CR,39,FALSE),0)</f>
        <v>0.47169811320754718</v>
      </c>
      <c r="AQ45" s="43">
        <f>IFERROR(VLOOKUP(VLOOKUP($B45,'Pulse Mapping'!$A:$C,3,FALSE),'Pulse Survey'!$A:$J,'Pulse Survey'!D$1,FALSE),0)</f>
        <v>0.6</v>
      </c>
      <c r="AR45" s="63" cm="1">
        <f t="array" ref="AR45">_xlfn.IFS(AQ45 = "-",0,AQ45 &gt;=Benchmark!T$4,1,AQ45&lt;Benchmark!T$4,0)</f>
        <v>0</v>
      </c>
      <c r="AS45" s="24">
        <f>IFERROR(VLOOKUP(B45,'Previous Dashboard'!B:CR,42,FALSE),0)</f>
        <v>0.69811320754716988</v>
      </c>
      <c r="AT45" s="43">
        <f>IFERROR(VLOOKUP(VLOOKUP($B45,'Pulse Mapping'!$A:$C,3,FALSE),'Pulse Survey'!$A:$J,'Pulse Survey'!E$1,FALSE),0)</f>
        <v>0.31111111111111112</v>
      </c>
      <c r="AU45" s="63" cm="1">
        <f t="array" ref="AU45">_xlfn.IFS(AT45 = "-",0,AT45 &gt;=Benchmark!V$4,1,AT45&lt;Benchmark!V$4,0)</f>
        <v>0</v>
      </c>
      <c r="AV45" s="24">
        <f>IFERROR(VLOOKUP(B45,'Previous Dashboard'!B:CR,45,FALSE),0)</f>
        <v>0.39622641509433965</v>
      </c>
      <c r="AW45" s="43">
        <f>IFERROR(VLOOKUP(VLOOKUP($B45,'Pulse Mapping'!$A:$C,3,FALSE),'Pulse Survey'!$A:$J,'Pulse Survey'!F$1,FALSE),0)</f>
        <v>0.57777777777777783</v>
      </c>
      <c r="AX45" s="63" cm="1">
        <f t="array" ref="AX45">_xlfn.IFS(AW45 = "-",0,AW45 &gt;=Benchmark!X$4,1,AW45&lt;Benchmark!X$4,0)</f>
        <v>0</v>
      </c>
      <c r="AY45" s="24">
        <f>IFERROR(VLOOKUP(B45,'Previous Dashboard'!B:CR,48,FALSE),0)</f>
        <v>0.58490566037735847</v>
      </c>
      <c r="AZ45" s="43">
        <f>IFERROR(VLOOKUP(VLOOKUP($B45,'Pulse Mapping'!$A:$C,3,FALSE),'Pulse Survey'!$A:$J,'Pulse Survey'!G$1,FALSE),0)</f>
        <v>0.71111111111111114</v>
      </c>
      <c r="BA45" s="63" cm="1">
        <f t="array" ref="BA45">_xlfn.IFS(AZ45 = "-",0,AZ45 &gt;=Benchmark!Z$4,1,AZ45&lt;Benchmark!Z$4,0)</f>
        <v>1</v>
      </c>
      <c r="BB45" s="24">
        <f>IFERROR(VLOOKUP(B45,'Previous Dashboard'!B:CR,51,FALSE),0)</f>
        <v>0.71698113207547165</v>
      </c>
      <c r="BC45" s="43">
        <f>IFERROR(VLOOKUP(VLOOKUP($B45,'Pulse Mapping'!$A:$C,3,FALSE),'Pulse Survey'!$A:$J,'Pulse Survey'!H$1,FALSE),0)</f>
        <v>0.44444444444444442</v>
      </c>
      <c r="BD45" s="63" cm="1">
        <f t="array" ref="BD45">_xlfn.IFS(BC45 = "-",0,BC45 &gt;=Benchmark!AB$4,1,BC45&lt;Benchmark!AB$4,0)</f>
        <v>0</v>
      </c>
      <c r="BE45" s="24">
        <f>IFERROR(VLOOKUP(B45,'Previous Dashboard'!B:CR,54,FALSE),0)</f>
        <v>0.54716981132075471</v>
      </c>
      <c r="BF45" s="43">
        <f>IFERROR(VLOOKUP(VLOOKUP($B45,'Pulse Mapping'!$A:$C,3,FALSE),'Pulse Survey'!$A:$J,'Pulse Survey'!I$1,FALSE),0)</f>
        <v>0.6</v>
      </c>
      <c r="BG45" s="63" cm="1">
        <f t="array" ref="BG45">_xlfn.IFS(BF45 = "-",0,BF45 &gt;=Benchmark!AD$4,1,BF45&lt;Benchmark!AD$4,0)</f>
        <v>0</v>
      </c>
      <c r="BH45" s="91">
        <f>IFERROR(VLOOKUP(B45,'Previous Dashboard'!B:CR,57,FALSE),0)</f>
        <v>0.679245283018868</v>
      </c>
      <c r="BI45" s="44">
        <f>IFERROR(VLOOKUP(VLOOKUP($B45,'Pulse Mapping'!$A:$C,3,FALSE),'Pulse Survey'!$A:$J,'Pulse Survey'!J$1,FALSE),0)</f>
        <v>0.62222222222222223</v>
      </c>
      <c r="BJ45" s="63" cm="1">
        <f t="array" ref="BJ45">_xlfn.IFS(BI45 = "-",0,BI45 &gt;=Benchmark!AF$4,1,BI45&lt;Benchmark!AF$4,0)</f>
        <v>0</v>
      </c>
      <c r="BK45" s="145">
        <f>IFERROR(VLOOKUP(B45,'Previous Dashboard'!B:CR,60,FALSE),0)</f>
        <v>0.679245283018868</v>
      </c>
      <c r="BL45" s="224">
        <f t="shared" si="16"/>
        <v>1</v>
      </c>
      <c r="BM45" s="325">
        <f>IFERROR(VLOOKUP(B45,'Previous Dashboard'!B:CR,63,FALSE),0)</f>
        <v>4</v>
      </c>
      <c r="BN45" s="285">
        <f t="shared" si="11"/>
        <v>2</v>
      </c>
      <c r="BO45" s="190">
        <f>IFERROR(VLOOKUP(B45,'Previous Dashboard'!B:CR,65,FALSE),0)</f>
        <v>5</v>
      </c>
      <c r="BP45" s="25">
        <f>IFERROR(VLOOKUP(B45,'Previous Dashboard'!B:CR,66,FALSE),0)</f>
        <v>1</v>
      </c>
      <c r="BQ45" s="288">
        <f>IFERROR(VLOOKUP(B45,'Previous Dashboard'!B:CR,67,FALSE),0)</f>
        <v>3</v>
      </c>
      <c r="BR45" s="99"/>
      <c r="BS45" s="403">
        <f>IFERROR(VLOOKUP(B45,'Staff Survey'!B:L,3,FALSE),"-")</f>
        <v>7</v>
      </c>
      <c r="BT45" s="401" t="s">
        <v>389</v>
      </c>
      <c r="BU45" s="136">
        <f>IFERROR(VLOOKUP(B45,'Staff Survey'!B:L,4,FALSE),"-")</f>
        <v>5.8</v>
      </c>
      <c r="BV45" s="399" t="s">
        <v>389</v>
      </c>
      <c r="BW45" s="403">
        <f>IFERROR(VLOOKUP(B45,'Staff Survey'!B:L,5,FALSE),"-")</f>
        <v>6.5</v>
      </c>
      <c r="BX45" s="402" t="s">
        <v>389</v>
      </c>
      <c r="BY45" s="403">
        <f>IFERROR(VLOOKUP(B45,'Staff Survey'!B:L,6,FALSE),"-")</f>
        <v>5.7</v>
      </c>
      <c r="BZ45" s="402" t="s">
        <v>389</v>
      </c>
      <c r="CA45" s="403">
        <f>IFERROR(VLOOKUP(B45,'Staff Survey'!B:L,7,FALSE),"-")</f>
        <v>5.3</v>
      </c>
      <c r="CB45" s="428" t="s">
        <v>389</v>
      </c>
      <c r="CC45" s="403">
        <f>IFERROR(VLOOKUP(B45,'Staff Survey'!B:L,8,FALSE),"-")</f>
        <v>5.9</v>
      </c>
      <c r="CD45" s="428" t="s">
        <v>389</v>
      </c>
      <c r="CE45" s="403">
        <f>IFERROR(VLOOKUP(B45,'Staff Survey'!B:L,9,FALSE),"-")</f>
        <v>6.3</v>
      </c>
      <c r="CF45" s="428" t="s">
        <v>389</v>
      </c>
      <c r="CG45" s="140">
        <f>IFERROR(VLOOKUP(B45,'Staff Survey'!B:L,10,FALSE),"-")</f>
        <v>6.5</v>
      </c>
      <c r="CH45" s="277">
        <v>6.5</v>
      </c>
      <c r="CI45" s="412">
        <f>IFERROR(VLOOKUP(B45,'Staff Survey'!B:L,11,FALSE),"-")</f>
        <v>5.6</v>
      </c>
      <c r="CJ45" s="111">
        <v>6.1</v>
      </c>
      <c r="CL45" s="119">
        <f>IFERROR(VLOOKUP(B45,'LfE . HR Ops . F2SU'!A:B,2,FALSE),0)</f>
        <v>25</v>
      </c>
      <c r="CM45" s="119">
        <f>IFERROR(VLOOKUP(B45,'Previous Dashboard'!B:CR,89,FALSE),0)</f>
        <v>47</v>
      </c>
      <c r="CN45" s="124"/>
      <c r="CO45" s="125"/>
      <c r="CP45" s="126"/>
      <c r="CQ45" s="126"/>
    </row>
    <row r="46" spans="1:95" x14ac:dyDescent="0.25">
      <c r="A46" s="651"/>
      <c r="B46" s="543" t="s">
        <v>9</v>
      </c>
      <c r="C46" s="310">
        <f>IFERROR(VLOOKUP(B46,'Staff In Post'!A:C,3,FALSE),0)</f>
        <v>322</v>
      </c>
      <c r="D46" s="246">
        <f>IFERROR(VLOOKUP(B46,'Mandatory Training'!A:C,3,FALSE),0)</f>
        <v>0.70550161812297729</v>
      </c>
      <c r="E46" s="24">
        <f>IFERROR(VLOOKUP(B46,'Previous Dashboard'!B:CR,3,FALSE),0)</f>
        <v>0.75919732441471577</v>
      </c>
      <c r="F46" s="63">
        <f>IF(D46&gt;=Benchmark!C$4,1,0)</f>
        <v>0</v>
      </c>
      <c r="G46" s="17">
        <f>IFERROR(VLOOKUP(B46,Appraisals!A:C,3,FALSE),0)</f>
        <v>0.81854838709677424</v>
      </c>
      <c r="H46" s="24">
        <f>IFERROR(VLOOKUP(B46,'Previous Dashboard'!B:CR,6,FALSE),0)</f>
        <v>0.88888888888888884</v>
      </c>
      <c r="I46" s="63">
        <f>IF(G46&gt;=Benchmark!E$4,1,0)</f>
        <v>0</v>
      </c>
      <c r="J46" s="59">
        <f t="shared" si="12"/>
        <v>0.76202500260987582</v>
      </c>
      <c r="K46" s="91">
        <f t="shared" si="13"/>
        <v>0.82404310665180236</v>
      </c>
      <c r="L46" s="63">
        <f>IF(J46&gt;=Benchmark!G$4,1,0)</f>
        <v>0</v>
      </c>
      <c r="M46" s="51">
        <f>IFERROR(VLOOKUP(B46,Stress!A:D,4,FALSE),"-")</f>
        <v>1.4044559236658399E-2</v>
      </c>
      <c r="N46" s="60">
        <f>IFERROR(VLOOKUP(B46,'Previous Dashboard'!B:CR,12,FALSE),0)</f>
        <v>1.3975195868096899E-2</v>
      </c>
      <c r="O46" s="52">
        <f>IFERROR(VLOOKUP(B46,'Musculo Skeletal'!A:D,4,FALSE),"-")</f>
        <v>5.3057885435075702E-3</v>
      </c>
      <c r="P46" s="43">
        <f>IFERROR(VLOOKUP(B46,'Previous Dashboard'!B:CR,14,FALSE),0)</f>
        <v>5.7420396061691904E-3</v>
      </c>
      <c r="Q46" s="52">
        <f>IFERROR(VLOOKUP(B46,'All Sickness'!A:D,4,FALSE),"-")</f>
        <v>5.1006504420737002E-2</v>
      </c>
      <c r="R46" s="43">
        <f>IFERROR(VLOOKUP(B46,'Previous Dashboard'!B:CR,16,FALSE),0)</f>
        <v>5.4579624251508599E-2</v>
      </c>
      <c r="S46" s="63">
        <f>IF(Q46&lt;=Benchmark!K$4,1,0)</f>
        <v>0</v>
      </c>
      <c r="T46" s="44">
        <f>IFERROR(VLOOKUP(B46,LT.ST!A:C,3,FALSE),"-")</f>
        <v>1.69480552504668E-2</v>
      </c>
      <c r="U46" s="43">
        <f>IFERROR(VLOOKUP(B46,'Previous Dashboard'!B:CR,19,FALSE),0)</f>
        <v>2.0142844998792899E-2</v>
      </c>
      <c r="V46" s="42">
        <f>IFERROR(VLOOKUP(B46,Turnover!A:C,2,FALSE),0)</f>
        <v>4.6511627906976799E-2</v>
      </c>
      <c r="W46" s="60">
        <f>IFERROR(VLOOKUP(B46,'Previous Dashboard'!B:CR,21,FALSE),0)</f>
        <v>3.62438220757825E-2</v>
      </c>
      <c r="X46" s="63">
        <f>IF(V46&lt;=Benchmark!N$4,1,0)</f>
        <v>1</v>
      </c>
      <c r="Y46" s="159">
        <f>IFERROR(VLOOKUP(B46,Leavers!A:I,6,FALSE),0)</f>
        <v>14</v>
      </c>
      <c r="Z46" s="247">
        <f t="shared" si="14"/>
        <v>1</v>
      </c>
      <c r="AA46" s="298">
        <f>IFERROR(VLOOKUP(B46,'Previous Dashboard'!B:CR,25,FALSE),0)</f>
        <v>1</v>
      </c>
      <c r="AB46" s="188">
        <f>IFERROR(VLOOKUP(VLOOKUP($B46,'Pulse Mapping'!$A:$C,3,FALSE),'Pulse Survey'!$A:$J,2,FALSE),0)</f>
        <v>56</v>
      </c>
      <c r="AC46" s="25">
        <f>IFERROR(VLOOKUP(B46,'Previous Dashboard'!B:CR,27,FALSE),0)</f>
        <v>58</v>
      </c>
      <c r="AD46" s="362">
        <f t="shared" si="15"/>
        <v>0.17391304347826086</v>
      </c>
      <c r="AE46" s="408">
        <f>IFERROR(VLOOKUP(B46,'Staff Engagement'!A:E,5,FALSE),0)</f>
        <v>5.7192460317460316</v>
      </c>
      <c r="AF46" s="409">
        <f>IFERROR(VLOOKUP(B46,'Previous Dashboard'!B:CQ,30,FALSE),0)</f>
        <v>6.0775862068965516</v>
      </c>
      <c r="AG46" s="112">
        <f>IFERROR(VLOOKUP(B46,'Staff Engagement'!A:E,2,FALSE),0)</f>
        <v>5.6696428571428568</v>
      </c>
      <c r="AH46" s="409">
        <f>IFERROR(VLOOKUP(B46,'Previous Dashboard'!B:CQ,32,FALSE),0)</f>
        <v>5.8620689655172411</v>
      </c>
      <c r="AI46" s="112">
        <f>IFERROR(VLOOKUP(B46,'Staff Engagement'!A:E,3,FALSE),0)</f>
        <v>5.5505952380952381</v>
      </c>
      <c r="AJ46" s="409">
        <f>IFERROR(VLOOKUP(B46,'Previous Dashboard'!B:CQ,34,FALSE),0)</f>
        <v>6.25</v>
      </c>
      <c r="AK46" s="112">
        <f>IFERROR(VLOOKUP(B46,'Staff Engagement'!A:E,4,FALSE),0)</f>
        <v>5.9375</v>
      </c>
      <c r="AL46" s="271">
        <f>IFERROR(VLOOKUP(B46,'Previous Dashboard'!B:CQ,36,FALSE),0)</f>
        <v>6.1206896551724137</v>
      </c>
      <c r="AM46" s="388"/>
      <c r="AN46" s="60">
        <f>IFERROR(VLOOKUP(VLOOKUP($B46,'Pulse Mapping'!$A:$C,3,FALSE),'Pulse Survey'!$A:$J,'Pulse Survey'!C$1,FALSE),0)</f>
        <v>0.4107142857142857</v>
      </c>
      <c r="AO46" s="63" cm="1">
        <f t="array" ref="AO46">_xlfn.IFS(AN46 = "-",0,AN46 &gt;=Benchmark!R$4,1,AN46&lt;Benchmark!R$4,0)</f>
        <v>0</v>
      </c>
      <c r="AP46" s="43">
        <f>IFERROR(VLOOKUP(B46,'Previous Dashboard'!B:CR,39,FALSE),0)</f>
        <v>0.46551724137931033</v>
      </c>
      <c r="AQ46" s="43">
        <f>IFERROR(VLOOKUP(VLOOKUP($B46,'Pulse Mapping'!$A:$C,3,FALSE),'Pulse Survey'!$A:$J,'Pulse Survey'!D$1,FALSE),0)</f>
        <v>0.5357142857142857</v>
      </c>
      <c r="AR46" s="63" cm="1">
        <f t="array" ref="AR46">_xlfn.IFS(AQ46 = "-",0,AQ46 &gt;=Benchmark!T$4,1,AQ46&lt;Benchmark!T$4,0)</f>
        <v>0</v>
      </c>
      <c r="AS46" s="24">
        <f>IFERROR(VLOOKUP(B46,'Previous Dashboard'!B:CR,42,FALSE),0)</f>
        <v>0.55172413793103448</v>
      </c>
      <c r="AT46" s="43">
        <f>IFERROR(VLOOKUP(VLOOKUP($B46,'Pulse Mapping'!$A:$C,3,FALSE),'Pulse Survey'!$A:$J,'Pulse Survey'!E$1,FALSE),0)</f>
        <v>0.3035714285714286</v>
      </c>
      <c r="AU46" s="63" cm="1">
        <f t="array" ref="AU46">_xlfn.IFS(AT46 = "-",0,AT46 &gt;=Benchmark!V$4,1,AT46&lt;Benchmark!V$4,0)</f>
        <v>0</v>
      </c>
      <c r="AV46" s="24">
        <f>IFERROR(VLOOKUP(B46,'Previous Dashboard'!B:CR,45,FALSE),0)</f>
        <v>0.34482758620689657</v>
      </c>
      <c r="AW46" s="43">
        <f>IFERROR(VLOOKUP(VLOOKUP($B46,'Pulse Mapping'!$A:$C,3,FALSE),'Pulse Survey'!$A:$J,'Pulse Survey'!F$1,FALSE),0)</f>
        <v>0.4642857142857143</v>
      </c>
      <c r="AX46" s="63" cm="1">
        <f t="array" ref="AX46">_xlfn.IFS(AW46 = "-",0,AW46 &gt;=Benchmark!X$4,1,AW46&lt;Benchmark!X$4,0)</f>
        <v>0</v>
      </c>
      <c r="AY46" s="24">
        <f>IFERROR(VLOOKUP(B46,'Previous Dashboard'!B:CR,48,FALSE),0)</f>
        <v>0.48275862068965514</v>
      </c>
      <c r="AZ46" s="43">
        <f>IFERROR(VLOOKUP(VLOOKUP($B46,'Pulse Mapping'!$A:$C,3,FALSE),'Pulse Survey'!$A:$J,'Pulse Survey'!G$1,FALSE),0)</f>
        <v>0.46428571428571425</v>
      </c>
      <c r="BA46" s="63" cm="1">
        <f t="array" ref="BA46">_xlfn.IFS(AZ46 = "-",0,AZ46 &gt;=Benchmark!Z$4,1,AZ46&lt;Benchmark!Z$4,0)</f>
        <v>0</v>
      </c>
      <c r="BB46" s="24">
        <f>IFERROR(VLOOKUP(B46,'Previous Dashboard'!B:CR,51,FALSE),0)</f>
        <v>0.60344827586206895</v>
      </c>
      <c r="BC46" s="43">
        <f>IFERROR(VLOOKUP(VLOOKUP($B46,'Pulse Mapping'!$A:$C,3,FALSE),'Pulse Survey'!$A:$J,'Pulse Survey'!H$1,FALSE),0)</f>
        <v>0.4107142857142857</v>
      </c>
      <c r="BD46" s="63" cm="1">
        <f t="array" ref="BD46">_xlfn.IFS(BC46 = "-",0,BC46 &gt;=Benchmark!AB$4,1,BC46&lt;Benchmark!AB$4,0)</f>
        <v>0</v>
      </c>
      <c r="BE46" s="24">
        <f>IFERROR(VLOOKUP(B46,'Previous Dashboard'!B:CR,54,FALSE),0)</f>
        <v>0.43103448275862066</v>
      </c>
      <c r="BF46" s="43">
        <f>IFERROR(VLOOKUP(VLOOKUP($B46,'Pulse Mapping'!$A:$C,3,FALSE),'Pulse Survey'!$A:$J,'Pulse Survey'!I$1,FALSE),0)</f>
        <v>0.64285714285714279</v>
      </c>
      <c r="BG46" s="63" cm="1">
        <f t="array" ref="BG46">_xlfn.IFS(BF46 = "-",0,BF46 &gt;=Benchmark!AD$4,1,BF46&lt;Benchmark!AD$4,0)</f>
        <v>0</v>
      </c>
      <c r="BH46" s="91">
        <f>IFERROR(VLOOKUP(B46,'Previous Dashboard'!B:CR,57,FALSE),0)</f>
        <v>0.67241379310344829</v>
      </c>
      <c r="BI46" s="44">
        <f>IFERROR(VLOOKUP(VLOOKUP($B46,'Pulse Mapping'!$A:$C,3,FALSE),'Pulse Survey'!$A:$J,'Pulse Survey'!J$1,FALSE),0)</f>
        <v>0.48214285714285721</v>
      </c>
      <c r="BJ46" s="63" cm="1">
        <f t="array" ref="BJ46">_xlfn.IFS(BI46 = "-",0,BI46 &gt;=Benchmark!AF$4,1,BI46&lt;Benchmark!AF$4,0)</f>
        <v>0</v>
      </c>
      <c r="BK46" s="145">
        <f>IFERROR(VLOOKUP(B46,'Previous Dashboard'!B:CR,60,FALSE),0)</f>
        <v>0.51724137931034475</v>
      </c>
      <c r="BL46" s="224">
        <f t="shared" si="16"/>
        <v>0</v>
      </c>
      <c r="BM46" s="325">
        <f>IFERROR(VLOOKUP(B46,'Previous Dashboard'!B:CR,63,FALSE),0)</f>
        <v>1</v>
      </c>
      <c r="BN46" s="285">
        <f t="shared" si="11"/>
        <v>1</v>
      </c>
      <c r="BO46" s="190">
        <f>IFERROR(VLOOKUP(B46,'Previous Dashboard'!B:CR,65,FALSE),0)</f>
        <v>2</v>
      </c>
      <c r="BP46" s="25">
        <f>IFERROR(VLOOKUP(B46,'Previous Dashboard'!B:CR,66,FALSE),0)</f>
        <v>1</v>
      </c>
      <c r="BQ46" s="288">
        <f>IFERROR(VLOOKUP(B46,'Previous Dashboard'!B:CR,67,FALSE),0)</f>
        <v>3</v>
      </c>
      <c r="BR46" s="99"/>
      <c r="BS46" s="403">
        <f>IFERROR(VLOOKUP(B46,'Staff Survey'!B:L,3,FALSE),"-")</f>
        <v>6.6</v>
      </c>
      <c r="BT46" s="401" t="s">
        <v>389</v>
      </c>
      <c r="BU46" s="136">
        <f>IFERROR(VLOOKUP(B46,'Staff Survey'!B:L,4,FALSE),"-")</f>
        <v>5.5</v>
      </c>
      <c r="BV46" s="399" t="s">
        <v>389</v>
      </c>
      <c r="BW46" s="403">
        <f>IFERROR(VLOOKUP(B46,'Staff Survey'!B:L,5,FALSE),"-")</f>
        <v>6.3</v>
      </c>
      <c r="BX46" s="402" t="s">
        <v>389</v>
      </c>
      <c r="BY46" s="403">
        <f>IFERROR(VLOOKUP(B46,'Staff Survey'!B:L,6,FALSE),"-")</f>
        <v>5.6</v>
      </c>
      <c r="BZ46" s="402" t="s">
        <v>389</v>
      </c>
      <c r="CA46" s="403">
        <f>IFERROR(VLOOKUP(B46,'Staff Survey'!B:L,7,FALSE),"-")</f>
        <v>4.7</v>
      </c>
      <c r="CB46" s="428" t="s">
        <v>389</v>
      </c>
      <c r="CC46" s="403">
        <f>IFERROR(VLOOKUP(B46,'Staff Survey'!B:L,8,FALSE),"-")</f>
        <v>4.9000000000000004</v>
      </c>
      <c r="CD46" s="428" t="s">
        <v>389</v>
      </c>
      <c r="CE46" s="403">
        <f>IFERROR(VLOOKUP(B46,'Staff Survey'!B:L,9,FALSE),"-")</f>
        <v>6.1</v>
      </c>
      <c r="CF46" s="428" t="s">
        <v>389</v>
      </c>
      <c r="CG46" s="140">
        <f>IFERROR(VLOOKUP(B46,'Staff Survey'!B:L,10,FALSE),"-")</f>
        <v>6.3</v>
      </c>
      <c r="CH46" s="277">
        <v>6.7</v>
      </c>
      <c r="CI46" s="412">
        <f>IFERROR(VLOOKUP(B46,'Staff Survey'!B:L,11,FALSE),"-")</f>
        <v>5.0999999999999996</v>
      </c>
      <c r="CJ46" s="111">
        <v>5.9</v>
      </c>
      <c r="CL46" s="119">
        <f>IFERROR(VLOOKUP(B46,'LfE . HR Ops . F2SU'!A:B,2,FALSE),0)</f>
        <v>29</v>
      </c>
      <c r="CM46" s="119">
        <f>IFERROR(VLOOKUP(B46,'Previous Dashboard'!B:CR,89,FALSE),0)</f>
        <v>14</v>
      </c>
      <c r="CN46" s="124"/>
      <c r="CO46" s="125"/>
      <c r="CP46" s="126"/>
      <c r="CQ46" s="126"/>
    </row>
    <row r="47" spans="1:95" x14ac:dyDescent="0.25">
      <c r="A47" s="651"/>
      <c r="B47" s="543" t="s">
        <v>10</v>
      </c>
      <c r="C47" s="310">
        <f>IFERROR(VLOOKUP(B47,'Staff In Post'!A:C,3,FALSE),0)</f>
        <v>174</v>
      </c>
      <c r="D47" s="246">
        <f>IFERROR(VLOOKUP(B47,'Mandatory Training'!A:C,3,FALSE),0)</f>
        <v>0.81437125748502992</v>
      </c>
      <c r="E47" s="24">
        <f>IFERROR(VLOOKUP(B47,'Previous Dashboard'!B:CR,3,FALSE),0)</f>
        <v>0.86335403726708071</v>
      </c>
      <c r="F47" s="63">
        <f>IF(D47&gt;=Benchmark!C$4,1,0)</f>
        <v>0</v>
      </c>
      <c r="G47" s="17">
        <f>IFERROR(VLOOKUP(B47,Appraisals!A:C,3,FALSE),0)</f>
        <v>0.92481203007518797</v>
      </c>
      <c r="H47" s="24">
        <f>IFERROR(VLOOKUP(B47,'Previous Dashboard'!B:CR,6,FALSE),0)</f>
        <v>0.8359375</v>
      </c>
      <c r="I47" s="63">
        <f>IF(G47&gt;=Benchmark!E$4,1,0)</f>
        <v>1</v>
      </c>
      <c r="J47" s="59">
        <f t="shared" si="12"/>
        <v>0.869591643780109</v>
      </c>
      <c r="K47" s="91">
        <f t="shared" si="13"/>
        <v>0.84964576863354035</v>
      </c>
      <c r="L47" s="63">
        <f>IF(J47&gt;=Benchmark!G$4,1,0)</f>
        <v>0</v>
      </c>
      <c r="M47" s="51">
        <f>IFERROR(VLOOKUP(B47,Stress!A:D,4,FALSE),"-")</f>
        <v>2.5407405073291801E-2</v>
      </c>
      <c r="N47" s="60">
        <f>IFERROR(VLOOKUP(B47,'Previous Dashboard'!B:CR,12,FALSE),0)</f>
        <v>1.86868656185562E-2</v>
      </c>
      <c r="O47" s="52">
        <f>IFERROR(VLOOKUP(B47,'Musculo Skeletal'!A:D,4,FALSE),"-")</f>
        <v>8.8356863773203093E-3</v>
      </c>
      <c r="P47" s="43">
        <f>IFERROR(VLOOKUP(B47,'Previous Dashboard'!B:CR,14,FALSE),0)</f>
        <v>9.3839802960311008E-3</v>
      </c>
      <c r="Q47" s="52">
        <f>IFERROR(VLOOKUP(B47,'All Sickness'!A:D,4,FALSE),"-")</f>
        <v>7.3928387517741806E-2</v>
      </c>
      <c r="R47" s="43">
        <f>IFERROR(VLOOKUP(B47,'Previous Dashboard'!B:CR,16,FALSE),0)</f>
        <v>7.4618176240116005E-2</v>
      </c>
      <c r="S47" s="63">
        <f>IF(Q47&lt;=Benchmark!K$4,1,0)</f>
        <v>0</v>
      </c>
      <c r="T47" s="44">
        <f>IFERROR(VLOOKUP(B47,LT.ST!A:C,3,FALSE),"-")</f>
        <v>3.4330033175620098E-2</v>
      </c>
      <c r="U47" s="43">
        <f>IFERROR(VLOOKUP(B47,'Previous Dashboard'!B:CR,19,FALSE),0)</f>
        <v>4.0175950616737496E-2</v>
      </c>
      <c r="V47" s="42">
        <f>IFERROR(VLOOKUP(B47,Turnover!A:C,2,FALSE),0)</f>
        <v>4.3209876543209902E-2</v>
      </c>
      <c r="W47" s="60">
        <f>IFERROR(VLOOKUP(B47,'Previous Dashboard'!B:CR,21,FALSE),0)</f>
        <v>1.88679245283019E-2</v>
      </c>
      <c r="X47" s="63">
        <f>IF(V47&lt;=Benchmark!N$4,1,0)</f>
        <v>1</v>
      </c>
      <c r="Y47" s="159">
        <f>IFERROR(VLOOKUP(B47,Leavers!A:I,6,FALSE),0)</f>
        <v>7</v>
      </c>
      <c r="Z47" s="247">
        <f t="shared" si="14"/>
        <v>1</v>
      </c>
      <c r="AA47" s="298">
        <f>IFERROR(VLOOKUP(B47,'Previous Dashboard'!B:CR,25,FALSE),0)</f>
        <v>1</v>
      </c>
      <c r="AB47" s="188">
        <f>IFERROR(VLOOKUP(VLOOKUP($B47,'Pulse Mapping'!$A:$C,3,FALSE),'Pulse Survey'!$A:$J,2,FALSE),0)</f>
        <v>37</v>
      </c>
      <c r="AC47" s="25">
        <f>IFERROR(VLOOKUP(B47,'Previous Dashboard'!B:CR,27,FALSE),0)</f>
        <v>41</v>
      </c>
      <c r="AD47" s="362">
        <f t="shared" si="15"/>
        <v>0.21264367816091953</v>
      </c>
      <c r="AE47" s="408">
        <f>IFERROR(VLOOKUP(B47,'Staff Engagement'!A:E,5,FALSE),0)</f>
        <v>5.5630630630630629</v>
      </c>
      <c r="AF47" s="409">
        <f>IFERROR(VLOOKUP(B47,'Previous Dashboard'!B:CQ,30,FALSE),0)</f>
        <v>5.6978319783197833</v>
      </c>
      <c r="AG47" s="112">
        <f>IFERROR(VLOOKUP(B47,'Staff Engagement'!A:E,2,FALSE),0)</f>
        <v>5.3153153153153152</v>
      </c>
      <c r="AH47" s="409">
        <f>IFERROR(VLOOKUP(B47,'Previous Dashboard'!B:CQ,32,FALSE),0)</f>
        <v>5.4065040650406502</v>
      </c>
      <c r="AI47" s="112">
        <f>IFERROR(VLOOKUP(B47,'Staff Engagement'!A:E,3,FALSE),0)</f>
        <v>5.8783783783783781</v>
      </c>
      <c r="AJ47" s="409">
        <f>IFERROR(VLOOKUP(B47,'Previous Dashboard'!B:CQ,34,FALSE),0)</f>
        <v>5.7926829268292686</v>
      </c>
      <c r="AK47" s="112">
        <f>IFERROR(VLOOKUP(B47,'Staff Engagement'!A:E,4,FALSE),0)</f>
        <v>5.4954954954954953</v>
      </c>
      <c r="AL47" s="271">
        <f>IFERROR(VLOOKUP(B47,'Previous Dashboard'!B:CQ,36,FALSE),0)</f>
        <v>5.8943089430894311</v>
      </c>
      <c r="AM47" s="388"/>
      <c r="AN47" s="60">
        <f>IFERROR(VLOOKUP(VLOOKUP($B47,'Pulse Mapping'!$A:$C,3,FALSE),'Pulse Survey'!$A:$J,'Pulse Survey'!C$1,FALSE),0)</f>
        <v>0.5135135135135136</v>
      </c>
      <c r="AO47" s="63" cm="1">
        <f t="array" ref="AO47">_xlfn.IFS(AN47 = "-",0,AN47 &gt;=Benchmark!R$4,1,AN47&lt;Benchmark!R$4,0)</f>
        <v>0</v>
      </c>
      <c r="AP47" s="43">
        <f>IFERROR(VLOOKUP(B47,'Previous Dashboard'!B:CR,39,FALSE),0)</f>
        <v>0.3902439024390244</v>
      </c>
      <c r="AQ47" s="43">
        <f>IFERROR(VLOOKUP(VLOOKUP($B47,'Pulse Mapping'!$A:$C,3,FALSE),'Pulse Survey'!$A:$J,'Pulse Survey'!D$1,FALSE),0)</f>
        <v>0.35135135135135137</v>
      </c>
      <c r="AR47" s="63" cm="1">
        <f t="array" ref="AR47">_xlfn.IFS(AQ47 = "-",0,AQ47 &gt;=Benchmark!T$4,1,AQ47&lt;Benchmark!T$4,0)</f>
        <v>0</v>
      </c>
      <c r="AS47" s="24">
        <f>IFERROR(VLOOKUP(B47,'Previous Dashboard'!B:CR,42,FALSE),0)</f>
        <v>0.34146341463414637</v>
      </c>
      <c r="AT47" s="43">
        <f>IFERROR(VLOOKUP(VLOOKUP($B47,'Pulse Mapping'!$A:$C,3,FALSE),'Pulse Survey'!$A:$J,'Pulse Survey'!E$1,FALSE),0)</f>
        <v>0.43243243243243246</v>
      </c>
      <c r="AU47" s="63" cm="1">
        <f t="array" ref="AU47">_xlfn.IFS(AT47 = "-",0,AT47 &gt;=Benchmark!V$4,1,AT47&lt;Benchmark!V$4,0)</f>
        <v>0</v>
      </c>
      <c r="AV47" s="24">
        <f>IFERROR(VLOOKUP(B47,'Previous Dashboard'!B:CR,45,FALSE),0)</f>
        <v>0.34146341463414631</v>
      </c>
      <c r="AW47" s="43">
        <f>IFERROR(VLOOKUP(VLOOKUP($B47,'Pulse Mapping'!$A:$C,3,FALSE),'Pulse Survey'!$A:$J,'Pulse Survey'!F$1,FALSE),0)</f>
        <v>0.35135135135135137</v>
      </c>
      <c r="AX47" s="63" cm="1">
        <f t="array" ref="AX47">_xlfn.IFS(AW47 = "-",0,AW47 &gt;=Benchmark!X$4,1,AW47&lt;Benchmark!X$4,0)</f>
        <v>0</v>
      </c>
      <c r="AY47" s="24">
        <f>IFERROR(VLOOKUP(B47,'Previous Dashboard'!B:CR,48,FALSE),0)</f>
        <v>0.53658536585365857</v>
      </c>
      <c r="AZ47" s="43">
        <f>IFERROR(VLOOKUP(VLOOKUP($B47,'Pulse Mapping'!$A:$C,3,FALSE),'Pulse Survey'!$A:$J,'Pulse Survey'!G$1,FALSE),0)</f>
        <v>0.3783783783783784</v>
      </c>
      <c r="BA47" s="63" cm="1">
        <f t="array" ref="BA47">_xlfn.IFS(AZ47 = "-",0,AZ47 &gt;=Benchmark!Z$4,1,AZ47&lt;Benchmark!Z$4,0)</f>
        <v>0</v>
      </c>
      <c r="BB47" s="24">
        <f>IFERROR(VLOOKUP(B47,'Previous Dashboard'!B:CR,51,FALSE),0)</f>
        <v>0.5609756097560975</v>
      </c>
      <c r="BC47" s="43">
        <f>IFERROR(VLOOKUP(VLOOKUP($B47,'Pulse Mapping'!$A:$C,3,FALSE),'Pulse Survey'!$A:$J,'Pulse Survey'!H$1,FALSE),0)</f>
        <v>0.43243243243243246</v>
      </c>
      <c r="BD47" s="63" cm="1">
        <f t="array" ref="BD47">_xlfn.IFS(BC47 = "-",0,BC47 &gt;=Benchmark!AB$4,1,BC47&lt;Benchmark!AB$4,0)</f>
        <v>0</v>
      </c>
      <c r="BE47" s="24">
        <f>IFERROR(VLOOKUP(B47,'Previous Dashboard'!B:CR,54,FALSE),0)</f>
        <v>0.43902439024390238</v>
      </c>
      <c r="BF47" s="43">
        <f>IFERROR(VLOOKUP(VLOOKUP($B47,'Pulse Mapping'!$A:$C,3,FALSE),'Pulse Survey'!$A:$J,'Pulse Survey'!I$1,FALSE),0)</f>
        <v>0.56756756756756754</v>
      </c>
      <c r="BG47" s="63" cm="1">
        <f t="array" ref="BG47">_xlfn.IFS(BF47 = "-",0,BF47 &gt;=Benchmark!AD$4,1,BF47&lt;Benchmark!AD$4,0)</f>
        <v>0</v>
      </c>
      <c r="BH47" s="91">
        <f>IFERROR(VLOOKUP(B47,'Previous Dashboard'!B:CR,57,FALSE),0)</f>
        <v>0.70731707317073167</v>
      </c>
      <c r="BI47" s="44">
        <f>IFERROR(VLOOKUP(VLOOKUP($B47,'Pulse Mapping'!$A:$C,3,FALSE),'Pulse Survey'!$A:$J,'Pulse Survey'!J$1,FALSE),0)</f>
        <v>0.40540540540540543</v>
      </c>
      <c r="BJ47" s="63" cm="1">
        <f t="array" ref="BJ47">_xlfn.IFS(BI47 = "-",0,BI47 &gt;=Benchmark!AF$4,1,BI47&lt;Benchmark!AF$4,0)</f>
        <v>0</v>
      </c>
      <c r="BK47" s="145">
        <f>IFERROR(VLOOKUP(B47,'Previous Dashboard'!B:CR,60,FALSE),0)</f>
        <v>0.53658536585365857</v>
      </c>
      <c r="BL47" s="224">
        <f t="shared" si="16"/>
        <v>0</v>
      </c>
      <c r="BM47" s="325">
        <f>IFERROR(VLOOKUP(B47,'Previous Dashboard'!B:CR,63,FALSE),0)</f>
        <v>1</v>
      </c>
      <c r="BN47" s="285">
        <f t="shared" si="11"/>
        <v>1</v>
      </c>
      <c r="BO47" s="190">
        <f>IFERROR(VLOOKUP(B47,'Previous Dashboard'!B:CR,65,FALSE),0)</f>
        <v>2</v>
      </c>
      <c r="BP47" s="25">
        <f>IFERROR(VLOOKUP(B47,'Previous Dashboard'!B:CR,66,FALSE),0)</f>
        <v>1</v>
      </c>
      <c r="BQ47" s="288">
        <f>IFERROR(VLOOKUP(B47,'Previous Dashboard'!B:CR,67,FALSE),0)</f>
        <v>1</v>
      </c>
      <c r="BR47" s="99"/>
      <c r="BS47" s="403">
        <f>IFERROR(VLOOKUP(B47,'Staff Survey'!B:L,3,FALSE),"-")</f>
        <v>6.4</v>
      </c>
      <c r="BT47" s="401" t="s">
        <v>389</v>
      </c>
      <c r="BU47" s="136">
        <f>IFERROR(VLOOKUP(B47,'Staff Survey'!B:L,4,FALSE),"-")</f>
        <v>4.9000000000000004</v>
      </c>
      <c r="BV47" s="399" t="s">
        <v>389</v>
      </c>
      <c r="BW47" s="403">
        <f>IFERROR(VLOOKUP(B47,'Staff Survey'!B:L,5,FALSE),"-")</f>
        <v>5.9</v>
      </c>
      <c r="BX47" s="402" t="s">
        <v>389</v>
      </c>
      <c r="BY47" s="403">
        <f>IFERROR(VLOOKUP(B47,'Staff Survey'!B:L,6,FALSE),"-")</f>
        <v>5</v>
      </c>
      <c r="BZ47" s="402" t="s">
        <v>389</v>
      </c>
      <c r="CA47" s="403">
        <f>IFERROR(VLOOKUP(B47,'Staff Survey'!B:L,7,FALSE),"-")</f>
        <v>3.9</v>
      </c>
      <c r="CB47" s="428" t="s">
        <v>389</v>
      </c>
      <c r="CC47" s="403">
        <f>IFERROR(VLOOKUP(B47,'Staff Survey'!B:L,8,FALSE),"-")</f>
        <v>5.4</v>
      </c>
      <c r="CD47" s="428" t="s">
        <v>389</v>
      </c>
      <c r="CE47" s="403">
        <f>IFERROR(VLOOKUP(B47,'Staff Survey'!B:L,9,FALSE),"-")</f>
        <v>5.6</v>
      </c>
      <c r="CF47" s="428" t="s">
        <v>389</v>
      </c>
      <c r="CG47" s="140">
        <f>IFERROR(VLOOKUP(B47,'Staff Survey'!B:L,10,FALSE),"-")</f>
        <v>5.8</v>
      </c>
      <c r="CH47" s="277">
        <v>5.8</v>
      </c>
      <c r="CI47" s="412">
        <f>IFERROR(VLOOKUP(B47,'Staff Survey'!B:L,11,FALSE),"-")</f>
        <v>4.4000000000000004</v>
      </c>
      <c r="CJ47" s="111">
        <v>4.9000000000000004</v>
      </c>
      <c r="CL47" s="119">
        <f>IFERROR(VLOOKUP(B47,'LfE . HR Ops . F2SU'!A:B,2,FALSE),0)</f>
        <v>10</v>
      </c>
      <c r="CM47" s="119">
        <f>IFERROR(VLOOKUP(B47,'Previous Dashboard'!B:CR,89,FALSE),0)</f>
        <v>6</v>
      </c>
      <c r="CN47" s="124"/>
      <c r="CO47" s="125"/>
      <c r="CP47" s="126"/>
      <c r="CQ47" s="126"/>
    </row>
    <row r="48" spans="1:95" ht="15.75" thickBot="1" x14ac:dyDescent="0.3">
      <c r="A48" s="652"/>
      <c r="B48" s="543" t="s">
        <v>11</v>
      </c>
      <c r="C48" s="310">
        <f>IFERROR(VLOOKUP(B48,'Staff In Post'!A:C,3,FALSE),0)</f>
        <v>352</v>
      </c>
      <c r="D48" s="246">
        <f>IFERROR(VLOOKUP(B48,'Mandatory Training'!A:C,3,FALSE),0)</f>
        <v>0.78962536023054752</v>
      </c>
      <c r="E48" s="24">
        <f>IFERROR(VLOOKUP(B48,'Previous Dashboard'!B:CR,3,FALSE),0)</f>
        <v>0.66060606060606064</v>
      </c>
      <c r="F48" s="63">
        <f>IF(D48&gt;=Benchmark!C$4,1,0)</f>
        <v>0</v>
      </c>
      <c r="G48" s="17">
        <f>IFERROR(VLOOKUP(B48,Appraisals!A:C,3,FALSE),0)</f>
        <v>0.95522388059701491</v>
      </c>
      <c r="H48" s="24">
        <f>IFERROR(VLOOKUP(B48,'Previous Dashboard'!B:CR,6,FALSE),0)</f>
        <v>0.96934865900383138</v>
      </c>
      <c r="I48" s="63">
        <f>IF(G48&gt;=Benchmark!E$4,1,0)</f>
        <v>1</v>
      </c>
      <c r="J48" s="59">
        <f t="shared" si="12"/>
        <v>0.87242462041378122</v>
      </c>
      <c r="K48" s="91">
        <f t="shared" si="13"/>
        <v>0.81497735980494601</v>
      </c>
      <c r="L48" s="63">
        <f>IF(J48&gt;=Benchmark!G$4,1,0)</f>
        <v>0</v>
      </c>
      <c r="M48" s="51">
        <f>IFERROR(VLOOKUP(B48,Stress!A:D,4,FALSE),"-")</f>
        <v>8.4777626773506996E-3</v>
      </c>
      <c r="N48" s="60">
        <f>IFERROR(VLOOKUP(B48,'Previous Dashboard'!B:CR,12,FALSE),0)</f>
        <v>1.3832931358804401E-2</v>
      </c>
      <c r="O48" s="52">
        <f>IFERROR(VLOOKUP(B48,'Musculo Skeletal'!A:D,4,FALSE),"-")</f>
        <v>6.0980106486037402E-3</v>
      </c>
      <c r="P48" s="43">
        <f>IFERROR(VLOOKUP(B48,'Previous Dashboard'!B:CR,14,FALSE),0)</f>
        <v>5.5587635165592003E-3</v>
      </c>
      <c r="Q48" s="52">
        <f>IFERROR(VLOOKUP(B48,'All Sickness'!A:D,4,FALSE),"-")</f>
        <v>4.7849315857671403E-2</v>
      </c>
      <c r="R48" s="43">
        <f>IFERROR(VLOOKUP(B48,'Previous Dashboard'!B:CR,16,FALSE),0)</f>
        <v>5.749610479344E-2</v>
      </c>
      <c r="S48" s="63">
        <f>IF(Q48&lt;=Benchmark!K$4,1,0)</f>
        <v>0</v>
      </c>
      <c r="T48" s="44">
        <f>IFERROR(VLOOKUP(B48,LT.ST!A:C,3,FALSE),"-")</f>
        <v>2.13674505537946E-2</v>
      </c>
      <c r="U48" s="43">
        <f>IFERROR(VLOOKUP(B48,'Previous Dashboard'!B:CR,19,FALSE),0)</f>
        <v>2.5173363880678399E-2</v>
      </c>
      <c r="V48" s="42">
        <f>IFERROR(VLOOKUP(B48,Turnover!A:C,2,FALSE),0)</f>
        <v>4.6715328467153303E-2</v>
      </c>
      <c r="W48" s="60">
        <f>IFERROR(VLOOKUP(B48,'Previous Dashboard'!B:CR,21,FALSE),0)</f>
        <v>3.5190615835777102E-2</v>
      </c>
      <c r="X48" s="63">
        <f>IF(V48&lt;=Benchmark!N$4,1,0)</f>
        <v>1</v>
      </c>
      <c r="Y48" s="159">
        <f>IFERROR(VLOOKUP(B48,Leavers!A:I,6,FALSE),0)</f>
        <v>16</v>
      </c>
      <c r="Z48" s="247">
        <f t="shared" si="14"/>
        <v>1</v>
      </c>
      <c r="AA48" s="298">
        <f>IFERROR(VLOOKUP(B48,'Previous Dashboard'!B:CR,25,FALSE),0)</f>
        <v>1</v>
      </c>
      <c r="AB48" s="188">
        <f>IFERROR(VLOOKUP(VLOOKUP($B48,'Pulse Mapping'!$A:$C,3,FALSE),'Pulse Survey'!$A:$J,2,FALSE),0)</f>
        <v>36</v>
      </c>
      <c r="AC48" s="25">
        <f>IFERROR(VLOOKUP(B48,'Previous Dashboard'!B:CR,27,FALSE),0)</f>
        <v>31</v>
      </c>
      <c r="AD48" s="362">
        <f t="shared" si="15"/>
        <v>0.10227272727272728</v>
      </c>
      <c r="AE48" s="408">
        <f>IFERROR(VLOOKUP(B48,'Staff Engagement'!A:E,5,FALSE),0)</f>
        <v>6.1419753086419755</v>
      </c>
      <c r="AF48" s="409">
        <f>IFERROR(VLOOKUP(B48,'Previous Dashboard'!B:CQ,30,FALSE),0)</f>
        <v>6.3799283154121866</v>
      </c>
      <c r="AG48" s="112">
        <f>IFERROR(VLOOKUP(B48,'Staff Engagement'!A:E,2,FALSE),0)</f>
        <v>5.5787037037037033</v>
      </c>
      <c r="AH48" s="409">
        <f>IFERROR(VLOOKUP(B48,'Previous Dashboard'!B:CQ,32,FALSE),0)</f>
        <v>5.618279569892473</v>
      </c>
      <c r="AI48" s="112">
        <f>IFERROR(VLOOKUP(B48,'Staff Engagement'!A:E,3,FALSE),0)</f>
        <v>6.0648148148148149</v>
      </c>
      <c r="AJ48" s="409">
        <f>IFERROR(VLOOKUP(B48,'Previous Dashboard'!B:CQ,34,FALSE),0)</f>
        <v>6.370967741935484</v>
      </c>
      <c r="AK48" s="112">
        <f>IFERROR(VLOOKUP(B48,'Staff Engagement'!A:E,4,FALSE),0)</f>
        <v>6.7824074074074074</v>
      </c>
      <c r="AL48" s="271">
        <f>IFERROR(VLOOKUP(B48,'Previous Dashboard'!B:CQ,36,FALSE),0)</f>
        <v>7.150537634408602</v>
      </c>
      <c r="AM48" s="386">
        <f>IFERROR(VLOOKUP(B48,'Patient Experience'!A:K,9,FALSE),0)</f>
        <v>1</v>
      </c>
      <c r="AN48" s="60">
        <f>IFERROR(VLOOKUP(VLOOKUP($B48,'Pulse Mapping'!$A:$C,3,FALSE),'Pulse Survey'!$A:$J,'Pulse Survey'!C$1,FALSE),0)</f>
        <v>0.41666666666666669</v>
      </c>
      <c r="AO48" s="63" cm="1">
        <f t="array" ref="AO48">_xlfn.IFS(AN48 = "-",0,AN48 &gt;=Benchmark!R$4,1,AN48&lt;Benchmark!R$4,0)</f>
        <v>0</v>
      </c>
      <c r="AP48" s="43">
        <f>IFERROR(VLOOKUP(B48,'Previous Dashboard'!B:CR,39,FALSE),0)</f>
        <v>0.35483870967741937</v>
      </c>
      <c r="AQ48" s="43">
        <f>IFERROR(VLOOKUP(VLOOKUP($B48,'Pulse Mapping'!$A:$C,3,FALSE),'Pulse Survey'!$A:$J,'Pulse Survey'!D$1,FALSE),0)</f>
        <v>0.41666666666666663</v>
      </c>
      <c r="AR48" s="63" cm="1">
        <f t="array" ref="AR48">_xlfn.IFS(AQ48 = "-",0,AQ48 &gt;=Benchmark!T$4,1,AQ48&lt;Benchmark!T$4,0)</f>
        <v>0</v>
      </c>
      <c r="AS48" s="24">
        <f>IFERROR(VLOOKUP(B48,'Previous Dashboard'!B:CR,42,FALSE),0)</f>
        <v>0.5161290322580645</v>
      </c>
      <c r="AT48" s="43">
        <f>IFERROR(VLOOKUP(VLOOKUP($B48,'Pulse Mapping'!$A:$C,3,FALSE),'Pulse Survey'!$A:$J,'Pulse Survey'!E$1,FALSE),0)</f>
        <v>0.44444444444444442</v>
      </c>
      <c r="AU48" s="63" cm="1">
        <f t="array" ref="AU48">_xlfn.IFS(AT48 = "-",0,AT48 &gt;=Benchmark!V$4,1,AT48&lt;Benchmark!V$4,0)</f>
        <v>0</v>
      </c>
      <c r="AV48" s="24">
        <f>IFERROR(VLOOKUP(B48,'Previous Dashboard'!B:CR,45,FALSE),0)</f>
        <v>0.5161290322580645</v>
      </c>
      <c r="AW48" s="43">
        <f>IFERROR(VLOOKUP(VLOOKUP($B48,'Pulse Mapping'!$A:$C,3,FALSE),'Pulse Survey'!$A:$J,'Pulse Survey'!F$1,FALSE),0)</f>
        <v>0.61111111111111116</v>
      </c>
      <c r="AX48" s="63" cm="1">
        <f t="array" ref="AX48">_xlfn.IFS(AW48 = "-",0,AW48 &gt;=Benchmark!X$4,1,AW48&lt;Benchmark!X$4,0)</f>
        <v>0</v>
      </c>
      <c r="AY48" s="24">
        <f>IFERROR(VLOOKUP(B48,'Previous Dashboard'!B:CR,48,FALSE),0)</f>
        <v>0.64516129032258063</v>
      </c>
      <c r="AZ48" s="43">
        <f>IFERROR(VLOOKUP(VLOOKUP($B48,'Pulse Mapping'!$A:$C,3,FALSE),'Pulse Survey'!$A:$J,'Pulse Survey'!G$1,FALSE),0)</f>
        <v>0.61111111111111116</v>
      </c>
      <c r="BA48" s="63" cm="1">
        <f t="array" ref="BA48">_xlfn.IFS(AZ48 = "-",0,AZ48 &gt;=Benchmark!Z$4,1,AZ48&lt;Benchmark!Z$4,0)</f>
        <v>0</v>
      </c>
      <c r="BB48" s="24">
        <f>IFERROR(VLOOKUP(B48,'Previous Dashboard'!B:CR,51,FALSE),0)</f>
        <v>0.58064516129032262</v>
      </c>
      <c r="BC48" s="43">
        <f>IFERROR(VLOOKUP(VLOOKUP($B48,'Pulse Mapping'!$A:$C,3,FALSE),'Pulse Survey'!$A:$J,'Pulse Survey'!H$1,FALSE),0)</f>
        <v>0.55555555555555558</v>
      </c>
      <c r="BD48" s="63" cm="1">
        <f t="array" ref="BD48">_xlfn.IFS(BC48 = "-",0,BC48 &gt;=Benchmark!AB$4,1,BC48&lt;Benchmark!AB$4,0)</f>
        <v>0</v>
      </c>
      <c r="BE48" s="24">
        <f>IFERROR(VLOOKUP(B48,'Previous Dashboard'!B:CR,54,FALSE),0)</f>
        <v>0.58064516129032262</v>
      </c>
      <c r="BF48" s="43">
        <f>IFERROR(VLOOKUP(VLOOKUP($B48,'Pulse Mapping'!$A:$C,3,FALSE),'Pulse Survey'!$A:$J,'Pulse Survey'!I$1,FALSE),0)</f>
        <v>0.69444444444444442</v>
      </c>
      <c r="BG48" s="63" cm="1">
        <f t="array" ref="BG48">_xlfn.IFS(BF48 = "-",0,BF48 &gt;=Benchmark!AD$4,1,BF48&lt;Benchmark!AD$4,0)</f>
        <v>1</v>
      </c>
      <c r="BH48" s="91">
        <f>IFERROR(VLOOKUP(B48,'Previous Dashboard'!B:CR,57,FALSE),0)</f>
        <v>0.67741935483870963</v>
      </c>
      <c r="BI48" s="44">
        <f>IFERROR(VLOOKUP(VLOOKUP($B48,'Pulse Mapping'!$A:$C,3,FALSE),'Pulse Survey'!$A:$J,'Pulse Survey'!J$1,FALSE),0)</f>
        <v>0.55555555555555558</v>
      </c>
      <c r="BJ48" s="63" cm="1">
        <f t="array" ref="BJ48">_xlfn.IFS(BI48 = "-",0,BI48 &gt;=Benchmark!AF$4,1,BI48&lt;Benchmark!AF$4,0)</f>
        <v>0</v>
      </c>
      <c r="BK48" s="145">
        <f>IFERROR(VLOOKUP(B48,'Previous Dashboard'!B:CR,60,FALSE),0)</f>
        <v>0.58064516129032251</v>
      </c>
      <c r="BL48" s="224">
        <f t="shared" si="16"/>
        <v>1</v>
      </c>
      <c r="BM48" s="325">
        <f>IFERROR(VLOOKUP(B48,'Previous Dashboard'!B:CR,63,FALSE),0)</f>
        <v>1</v>
      </c>
      <c r="BN48" s="285">
        <f t="shared" si="11"/>
        <v>2</v>
      </c>
      <c r="BO48" s="190">
        <f>IFERROR(VLOOKUP(B48,'Previous Dashboard'!B:CR,65,FALSE),0)</f>
        <v>2</v>
      </c>
      <c r="BP48" s="25">
        <f>IFERROR(VLOOKUP(B48,'Previous Dashboard'!B:CR,66,FALSE),0)</f>
        <v>2</v>
      </c>
      <c r="BQ48" s="288">
        <f>IFERROR(VLOOKUP(B48,'Previous Dashboard'!B:CR,67,FALSE),0)</f>
        <v>3</v>
      </c>
      <c r="BR48" s="99"/>
      <c r="BS48" s="403">
        <f>IFERROR(VLOOKUP(B48,'Staff Survey'!B:L,3,FALSE),"-")</f>
        <v>7.3</v>
      </c>
      <c r="BT48" s="401" t="s">
        <v>389</v>
      </c>
      <c r="BU48" s="136">
        <f>IFERROR(VLOOKUP(B48,'Staff Survey'!B:L,4,FALSE),"-")</f>
        <v>5.8</v>
      </c>
      <c r="BV48" s="399" t="s">
        <v>389</v>
      </c>
      <c r="BW48" s="403">
        <f>IFERROR(VLOOKUP(B48,'Staff Survey'!B:L,5,FALSE),"-")</f>
        <v>6.8</v>
      </c>
      <c r="BX48" s="402" t="s">
        <v>389</v>
      </c>
      <c r="BY48" s="403">
        <f>IFERROR(VLOOKUP(B48,'Staff Survey'!B:L,6,FALSE),"-")</f>
        <v>5.6</v>
      </c>
      <c r="BZ48" s="402" t="s">
        <v>389</v>
      </c>
      <c r="CA48" s="403">
        <f>IFERROR(VLOOKUP(B48,'Staff Survey'!B:L,7,FALSE),"-")</f>
        <v>5.6</v>
      </c>
      <c r="CB48" s="428" t="s">
        <v>389</v>
      </c>
      <c r="CC48" s="403">
        <f>IFERROR(VLOOKUP(B48,'Staff Survey'!B:L,8,FALSE),"-")</f>
        <v>5.9</v>
      </c>
      <c r="CD48" s="428" t="s">
        <v>389</v>
      </c>
      <c r="CE48" s="403">
        <f>IFERROR(VLOOKUP(B48,'Staff Survey'!B:L,9,FALSE),"-")</f>
        <v>6.8</v>
      </c>
      <c r="CF48" s="428" t="s">
        <v>389</v>
      </c>
      <c r="CG48" s="140">
        <f>IFERROR(VLOOKUP(B48,'Staff Survey'!B:L,10,FALSE),"-")</f>
        <v>6.6</v>
      </c>
      <c r="CH48" s="277">
        <v>7.3</v>
      </c>
      <c r="CI48" s="412">
        <f>IFERROR(VLOOKUP(B48,'Staff Survey'!B:L,11,FALSE),"-")</f>
        <v>5.4</v>
      </c>
      <c r="CJ48" s="111">
        <v>6.5</v>
      </c>
      <c r="CL48" s="119">
        <f>IFERROR(VLOOKUP(B48,'LfE . HR Ops . F2SU'!A:B,2,FALSE),0)</f>
        <v>11</v>
      </c>
      <c r="CM48" s="119">
        <f>IFERROR(VLOOKUP(B48,'Previous Dashboard'!B:CR,89,FALSE),0)</f>
        <v>13</v>
      </c>
      <c r="CN48" s="124"/>
      <c r="CO48" s="125"/>
      <c r="CP48" s="126"/>
      <c r="CQ48" s="126"/>
    </row>
    <row r="49" spans="1:95" ht="15" customHeight="1" x14ac:dyDescent="0.25">
      <c r="A49" s="650" t="s">
        <v>298</v>
      </c>
      <c r="B49" s="543" t="s">
        <v>13</v>
      </c>
      <c r="C49" s="310">
        <f>IFERROR(VLOOKUP(B49,'Staff In Post'!A:C,3,FALSE),0)</f>
        <v>70</v>
      </c>
      <c r="D49" s="246">
        <f>IFERROR(VLOOKUP(B49,'Mandatory Training'!A:C,3,FALSE),0)</f>
        <v>0.64383561643835618</v>
      </c>
      <c r="E49" s="24">
        <f>IFERROR(VLOOKUP(B49,'Previous Dashboard'!B:CR,3,FALSE),0)</f>
        <v>0.45070422535211269</v>
      </c>
      <c r="F49" s="63">
        <f>IF(D49&gt;=Benchmark!C$4,1,0)</f>
        <v>0</v>
      </c>
      <c r="G49" s="17">
        <f>IFERROR(VLOOKUP(B49,Appraisals!A:C,3,FALSE),0)</f>
        <v>0.61538461538461542</v>
      </c>
      <c r="H49" s="24">
        <f>IFERROR(VLOOKUP(B49,'Previous Dashboard'!B:CR,6,FALSE),0)</f>
        <v>0.60655737704918034</v>
      </c>
      <c r="I49" s="63">
        <f>IF(G49&gt;=Benchmark!E$4,1,0)</f>
        <v>0</v>
      </c>
      <c r="J49" s="59">
        <f t="shared" si="6"/>
        <v>0.62961011591148575</v>
      </c>
      <c r="K49" s="91">
        <f t="shared" si="7"/>
        <v>0.52863080120064654</v>
      </c>
      <c r="L49" s="63">
        <f>IF(J49&gt;=Benchmark!G$4,1,0)</f>
        <v>0</v>
      </c>
      <c r="M49" s="51">
        <f>IFERROR(VLOOKUP(B49,Stress!A:D,4,FALSE),"-")</f>
        <v>0</v>
      </c>
      <c r="N49" s="60">
        <f>IFERROR(VLOOKUP(B49,'Previous Dashboard'!B:CR,12,FALSE),0)</f>
        <v>1.07916005198146E-2</v>
      </c>
      <c r="O49" s="52">
        <f>IFERROR(VLOOKUP(B49,'Musculo Skeletal'!A:D,4,FALSE),"-")</f>
        <v>1.9459007673893199E-4</v>
      </c>
      <c r="P49" s="43">
        <f>IFERROR(VLOOKUP(B49,'Previous Dashboard'!B:CR,14,FALSE),0)</f>
        <v>0</v>
      </c>
      <c r="Q49" s="52">
        <f>IFERROR(VLOOKUP(B49,'All Sickness'!A:D,4,FALSE),"-")</f>
        <v>2.3038178845482302E-2</v>
      </c>
      <c r="R49" s="43">
        <f>IFERROR(VLOOKUP(B49,'Previous Dashboard'!B:CR,16,FALSE),0)</f>
        <v>3.0282133778034799E-2</v>
      </c>
      <c r="S49" s="63">
        <f>IF(Q49&lt;=Benchmark!K$4,1,0)</f>
        <v>1</v>
      </c>
      <c r="T49" s="44">
        <f>IFERROR(VLOOKUP(B49,LT.ST!A:C,3,FALSE),"-")</f>
        <v>4.0863916115175701E-3</v>
      </c>
      <c r="U49" s="43">
        <f>IFERROR(VLOOKUP(B49,'Previous Dashboard'!B:CR,19,FALSE),0)</f>
        <v>9.3554559639457101E-3</v>
      </c>
      <c r="V49" s="42">
        <f>IFERROR(VLOOKUP(B49,Turnover!A:C,2,FALSE),0)</f>
        <v>1.6528925619834701E-2</v>
      </c>
      <c r="W49" s="60">
        <f>IFERROR(VLOOKUP(B49,'Previous Dashboard'!B:CR,21,FALSE),0)</f>
        <v>3.3898305084745797E-2</v>
      </c>
      <c r="X49" s="63">
        <f>IF(V49&lt;=Benchmark!N$4,1,0)</f>
        <v>1</v>
      </c>
      <c r="Y49" s="159">
        <f>IFERROR(VLOOKUP(B49,Leavers!A:I,6,FALSE),0)</f>
        <v>1</v>
      </c>
      <c r="Z49" s="247">
        <f t="shared" si="8"/>
        <v>2</v>
      </c>
      <c r="AA49" s="298">
        <f>IFERROR(VLOOKUP(B49,'Previous Dashboard'!B:CR,25,FALSE),0)</f>
        <v>2</v>
      </c>
      <c r="AB49" s="188">
        <f>IFERROR(VLOOKUP(VLOOKUP($B49,'Pulse Mapping'!$A:$C,3,FALSE),'Pulse Survey'!$A:$J,2,FALSE),0)</f>
        <v>9</v>
      </c>
      <c r="AC49" s="25">
        <f>IFERROR(VLOOKUP(B49,'Previous Dashboard'!B:CR,27,FALSE),0)</f>
        <v>14</v>
      </c>
      <c r="AD49" s="362">
        <f t="shared" si="9"/>
        <v>0.12857142857142856</v>
      </c>
      <c r="AE49" s="408">
        <f>IFERROR(VLOOKUP(B49,'Staff Engagement'!A:E,5,FALSE),0)</f>
        <v>8.2407407407407405</v>
      </c>
      <c r="AF49" s="409">
        <f>IFERROR(VLOOKUP(B49,'Previous Dashboard'!B:CQ,30,FALSE),0)</f>
        <v>7.3412698412698418</v>
      </c>
      <c r="AG49" s="112">
        <f>IFERROR(VLOOKUP(B49,'Staff Engagement'!A:E,2,FALSE),0)</f>
        <v>8.1481481481481488</v>
      </c>
      <c r="AH49" s="409">
        <f>IFERROR(VLOOKUP(B49,'Previous Dashboard'!B:CQ,32,FALSE),0)</f>
        <v>7.5595238095238093</v>
      </c>
      <c r="AI49" s="112">
        <f>IFERROR(VLOOKUP(B49,'Staff Engagement'!A:E,3,FALSE),0)</f>
        <v>8.3333333333333339</v>
      </c>
      <c r="AJ49" s="409">
        <f>IFERROR(VLOOKUP(B49,'Previous Dashboard'!B:CQ,34,FALSE),0)</f>
        <v>7.5</v>
      </c>
      <c r="AK49" s="112">
        <f>IFERROR(VLOOKUP(B49,'Staff Engagement'!A:E,4,FALSE),0)</f>
        <v>8.2407407407407405</v>
      </c>
      <c r="AL49" s="271">
        <f>IFERROR(VLOOKUP(B49,'Previous Dashboard'!B:CQ,36,FALSE),0)</f>
        <v>6.9642857142857144</v>
      </c>
      <c r="AM49" s="388"/>
      <c r="AN49" s="60">
        <f>IFERROR(VLOOKUP(VLOOKUP($B49,'Pulse Mapping'!$A:$C,3,FALSE),'Pulse Survey'!$A:$J,'Pulse Survey'!C$1,FALSE),0)</f>
        <v>0.77777777777777768</v>
      </c>
      <c r="AO49" s="63" cm="1">
        <f t="array" ref="AO49">_xlfn.IFS(AN49 = "-",0,AN49 &gt;=Benchmark!R$4,1,AN49&lt;Benchmark!R$4,0)</f>
        <v>1</v>
      </c>
      <c r="AP49" s="43">
        <f>IFERROR(VLOOKUP(B49,'Previous Dashboard'!B:CR,39,FALSE),0)</f>
        <v>0.7142857142857143</v>
      </c>
      <c r="AQ49" s="43">
        <f>IFERROR(VLOOKUP(VLOOKUP($B49,'Pulse Mapping'!$A:$C,3,FALSE),'Pulse Survey'!$A:$J,'Pulse Survey'!D$1,FALSE),0)</f>
        <v>0.66666666666666663</v>
      </c>
      <c r="AR49" s="63" cm="1">
        <f t="array" ref="AR49">_xlfn.IFS(AQ49 = "-",0,AQ49 &gt;=Benchmark!T$4,1,AQ49&lt;Benchmark!T$4,0)</f>
        <v>0</v>
      </c>
      <c r="AS49" s="24">
        <f>IFERROR(VLOOKUP(B49,'Previous Dashboard'!B:CR,42,FALSE),0)</f>
        <v>0.8571428571428571</v>
      </c>
      <c r="AT49" s="43">
        <f>IFERROR(VLOOKUP(VLOOKUP($B49,'Pulse Mapping'!$A:$C,3,FALSE),'Pulse Survey'!$A:$J,'Pulse Survey'!E$1,FALSE),0)</f>
        <v>0.66666666666666663</v>
      </c>
      <c r="AU49" s="63" cm="1">
        <f t="array" ref="AU49">_xlfn.IFS(AT49 = "-",0,AT49 &gt;=Benchmark!V$4,1,AT49&lt;Benchmark!V$4,0)</f>
        <v>0</v>
      </c>
      <c r="AV49" s="24">
        <f>IFERROR(VLOOKUP(B49,'Previous Dashboard'!B:CR,45,FALSE),0)</f>
        <v>0.7857142857142857</v>
      </c>
      <c r="AW49" s="43">
        <f>IFERROR(VLOOKUP(VLOOKUP($B49,'Pulse Mapping'!$A:$C,3,FALSE),'Pulse Survey'!$A:$J,'Pulse Survey'!F$1,FALSE),0)</f>
        <v>0.88888888888888884</v>
      </c>
      <c r="AX49" s="63" cm="1">
        <f t="array" ref="AX49">_xlfn.IFS(AW49 = "-",0,AW49 &gt;=Benchmark!X$4,1,AW49&lt;Benchmark!X$4,0)</f>
        <v>1</v>
      </c>
      <c r="AY49" s="24">
        <f>IFERROR(VLOOKUP(B49,'Previous Dashboard'!B:CR,48,FALSE),0)</f>
        <v>0.8571428571428571</v>
      </c>
      <c r="AZ49" s="43">
        <f>IFERROR(VLOOKUP(VLOOKUP($B49,'Pulse Mapping'!$A:$C,3,FALSE),'Pulse Survey'!$A:$J,'Pulse Survey'!G$1,FALSE),0)</f>
        <v>1</v>
      </c>
      <c r="BA49" s="63" cm="1">
        <f t="array" ref="BA49">_xlfn.IFS(AZ49 = "-",0,AZ49 &gt;=Benchmark!Z$4,1,AZ49&lt;Benchmark!Z$4,0)</f>
        <v>1</v>
      </c>
      <c r="BB49" s="24">
        <f>IFERROR(VLOOKUP(B49,'Previous Dashboard'!B:CR,51,FALSE),0)</f>
        <v>0.7857142857142857</v>
      </c>
      <c r="BC49" s="43">
        <f>IFERROR(VLOOKUP(VLOOKUP($B49,'Pulse Mapping'!$A:$C,3,FALSE),'Pulse Survey'!$A:$J,'Pulse Survey'!H$1,FALSE),0)</f>
        <v>0.88888888888888884</v>
      </c>
      <c r="BD49" s="63" cm="1">
        <f t="array" ref="BD49">_xlfn.IFS(BC49 = "-",0,BC49 &gt;=Benchmark!AB$4,1,BC49&lt;Benchmark!AB$4,0)</f>
        <v>1</v>
      </c>
      <c r="BE49" s="24">
        <f>IFERROR(VLOOKUP(B49,'Previous Dashboard'!B:CR,54,FALSE),0)</f>
        <v>0.64285714285714279</v>
      </c>
      <c r="BF49" s="43">
        <f>IFERROR(VLOOKUP(VLOOKUP($B49,'Pulse Mapping'!$A:$C,3,FALSE),'Pulse Survey'!$A:$J,'Pulse Survey'!I$1,FALSE),0)</f>
        <v>1</v>
      </c>
      <c r="BG49" s="63" cm="1">
        <f t="array" ref="BG49">_xlfn.IFS(BF49 = "-",0,BF49 &gt;=Benchmark!AD$4,1,BF49&lt;Benchmark!AD$4,0)</f>
        <v>1</v>
      </c>
      <c r="BH49" s="91">
        <f>IFERROR(VLOOKUP(B49,'Previous Dashboard'!B:CR,57,FALSE),0)</f>
        <v>0.8571428571428571</v>
      </c>
      <c r="BI49" s="44">
        <f>IFERROR(VLOOKUP(VLOOKUP($B49,'Pulse Mapping'!$A:$C,3,FALSE),'Pulse Survey'!$A:$J,'Pulse Survey'!J$1,FALSE),0)</f>
        <v>0.88888888888888884</v>
      </c>
      <c r="BJ49" s="63" cm="1">
        <f t="array" ref="BJ49">_xlfn.IFS(BI49 = "-",0,BI49 &gt;=Benchmark!AF$4,1,BI49&lt;Benchmark!AF$4,0)</f>
        <v>1</v>
      </c>
      <c r="BK49" s="145">
        <f>IFERROR(VLOOKUP(B49,'Previous Dashboard'!B:CR,60,FALSE),0)</f>
        <v>0.7142857142857143</v>
      </c>
      <c r="BL49" s="224">
        <f t="shared" si="10"/>
        <v>6</v>
      </c>
      <c r="BM49" s="325">
        <f>IFERROR(VLOOKUP(B49,'Previous Dashboard'!B:CR,63,FALSE),0)</f>
        <v>7</v>
      </c>
      <c r="BN49" s="285">
        <f t="shared" si="11"/>
        <v>8</v>
      </c>
      <c r="BO49" s="190">
        <f>IFERROR(VLOOKUP(B49,'Previous Dashboard'!B:CR,65,FALSE),0)</f>
        <v>9</v>
      </c>
      <c r="BP49" s="25">
        <f>IFERROR(VLOOKUP(B49,'Previous Dashboard'!B:CR,66,FALSE),0)</f>
        <v>1</v>
      </c>
      <c r="BQ49" s="288">
        <f>IFERROR(VLOOKUP(B49,'Previous Dashboard'!B:CR,67,FALSE),0)</f>
        <v>6</v>
      </c>
      <c r="BR49" s="99"/>
      <c r="BS49" s="403">
        <f>IFERROR(VLOOKUP(B49,'Staff Survey'!B:L,3,FALSE),"-")</f>
        <v>8</v>
      </c>
      <c r="BT49" s="401" t="s">
        <v>389</v>
      </c>
      <c r="BU49" s="136">
        <f>IFERROR(VLOOKUP(B49,'Staff Survey'!B:L,4,FALSE),"-")</f>
        <v>7.1</v>
      </c>
      <c r="BV49" s="399" t="s">
        <v>389</v>
      </c>
      <c r="BW49" s="403">
        <f>IFERROR(VLOOKUP(B49,'Staff Survey'!B:L,5,FALSE),"-")</f>
        <v>7</v>
      </c>
      <c r="BX49" s="402" t="s">
        <v>389</v>
      </c>
      <c r="BY49" s="403">
        <f>IFERROR(VLOOKUP(B49,'Staff Survey'!B:L,6,FALSE),"-")</f>
        <v>6.2</v>
      </c>
      <c r="BZ49" s="402" t="s">
        <v>389</v>
      </c>
      <c r="CA49" s="403">
        <f>IFERROR(VLOOKUP(B49,'Staff Survey'!B:L,7,FALSE),"-")</f>
        <v>6.2</v>
      </c>
      <c r="CB49" s="428" t="s">
        <v>389</v>
      </c>
      <c r="CC49" s="403">
        <f>IFERROR(VLOOKUP(B49,'Staff Survey'!B:L,8,FALSE),"-")</f>
        <v>6.4</v>
      </c>
      <c r="CD49" s="428" t="s">
        <v>389</v>
      </c>
      <c r="CE49" s="403">
        <f>IFERROR(VLOOKUP(B49,'Staff Survey'!B:L,9,FALSE),"-")</f>
        <v>7.6</v>
      </c>
      <c r="CF49" s="428" t="s">
        <v>389</v>
      </c>
      <c r="CG49" s="140">
        <f>IFERROR(VLOOKUP(B49,'Staff Survey'!B:L,10,FALSE),"-")</f>
        <v>7.3</v>
      </c>
      <c r="CH49" s="417" t="s">
        <v>389</v>
      </c>
      <c r="CI49" s="412">
        <f>IFERROR(VLOOKUP(B49,'Staff Survey'!B:L,11,FALSE),"-")</f>
        <v>6.4</v>
      </c>
      <c r="CJ49" s="419" t="s">
        <v>389</v>
      </c>
      <c r="CL49" s="119" t="str">
        <f>IFERROR(VLOOKUP(B49,'LfE . HR Ops . F2SU'!A:B,2,FALSE),0)</f>
        <v>-</v>
      </c>
      <c r="CM49" s="119" t="str">
        <f>IFERROR(VLOOKUP(B49,'Previous Dashboard'!B:CR,89,FALSE),0)</f>
        <v>-</v>
      </c>
      <c r="CN49" s="124"/>
      <c r="CO49" s="125"/>
      <c r="CP49" s="126"/>
      <c r="CQ49" s="126"/>
    </row>
    <row r="50" spans="1:95" x14ac:dyDescent="0.25">
      <c r="A50" s="651"/>
      <c r="B50" s="545" t="s">
        <v>14</v>
      </c>
      <c r="C50" s="310">
        <f>IFERROR(VLOOKUP(B50,'Staff In Post'!A:C,3,FALSE),0)</f>
        <v>28</v>
      </c>
      <c r="D50" s="246">
        <f>IFERROR(VLOOKUP(B50,'Mandatory Training'!A:C,3,FALSE),0)</f>
        <v>0.59259259259259256</v>
      </c>
      <c r="E50" s="24">
        <f>IFERROR(VLOOKUP(B50,'Previous Dashboard'!B:CR,3,FALSE),0)</f>
        <v>0.36842105263157893</v>
      </c>
      <c r="F50" s="63">
        <f>IF(D50&gt;=Benchmark!C$4,1,0)</f>
        <v>0</v>
      </c>
      <c r="G50" s="17">
        <f>IFERROR(VLOOKUP(B50,Appraisals!A:C,3,FALSE),0)</f>
        <v>0.42857142857142855</v>
      </c>
      <c r="H50" s="24">
        <f>IFERROR(VLOOKUP(B50,'Previous Dashboard'!B:CR,6,FALSE),0)</f>
        <v>0.16666666666666666</v>
      </c>
      <c r="I50" s="63">
        <f>IF(G50&gt;=Benchmark!E$4,1,0)</f>
        <v>0</v>
      </c>
      <c r="J50" s="59">
        <f t="shared" ref="J50:J57" si="17">AVERAGE(D50,G50)</f>
        <v>0.51058201058201058</v>
      </c>
      <c r="K50" s="91">
        <f t="shared" ref="K50:K57" si="18">AVERAGE(E50, H50)</f>
        <v>0.26754385964912281</v>
      </c>
      <c r="L50" s="63">
        <f>IF(J50&gt;=Benchmark!G$4,1,0)</f>
        <v>0</v>
      </c>
      <c r="M50" s="51">
        <f>IFERROR(VLOOKUP(B50,Stress!A:D,4,FALSE),"-")</f>
        <v>0</v>
      </c>
      <c r="N50" s="60">
        <f>IFERROR(VLOOKUP(B50,'Previous Dashboard'!B:CR,12,FALSE),0)</f>
        <v>0</v>
      </c>
      <c r="O50" s="52">
        <f>IFERROR(VLOOKUP(B50,'Musculo Skeletal'!A:D,4,FALSE),"-")</f>
        <v>1.04974923700726E-2</v>
      </c>
      <c r="P50" s="43">
        <f>IFERROR(VLOOKUP(B50,'Previous Dashboard'!B:CR,14,FALSE),0)</f>
        <v>0</v>
      </c>
      <c r="Q50" s="52">
        <f>IFERROR(VLOOKUP(B50,'All Sickness'!A:D,4,FALSE),"-")</f>
        <v>2.3131325729048101E-2</v>
      </c>
      <c r="R50" s="43">
        <f>IFERROR(VLOOKUP(B50,'Previous Dashboard'!B:CR,16,FALSE),0)</f>
        <v>4.9656068663444498E-2</v>
      </c>
      <c r="S50" s="63">
        <f>IF(Q50&lt;=Benchmark!K$4,1,0)</f>
        <v>1</v>
      </c>
      <c r="T50" s="44">
        <f>IFERROR(VLOOKUP(B50,LT.ST!A:C,3,FALSE),"-")</f>
        <v>1.0497492370072602E-2</v>
      </c>
      <c r="U50" s="43">
        <f>IFERROR(VLOOKUP(B50,'Previous Dashboard'!B:CR,19,FALSE),0)</f>
        <v>4.0993267065841194E-2</v>
      </c>
      <c r="V50" s="42">
        <f>IFERROR(VLOOKUP(B50,Turnover!A:C,2,FALSE),0)</f>
        <v>4.2553191489361701E-2</v>
      </c>
      <c r="W50" s="60">
        <f>IFERROR(VLOOKUP(B50,'Previous Dashboard'!B:CR,21,FALSE),0)</f>
        <v>0.13793103448275901</v>
      </c>
      <c r="X50" s="63">
        <f>IF(V50&lt;=Benchmark!N$4,1,0)</f>
        <v>1</v>
      </c>
      <c r="Y50" s="159">
        <f>IFERROR(VLOOKUP(B50,Leavers!A:I,6,FALSE),0)</f>
        <v>1</v>
      </c>
      <c r="Z50" s="247">
        <f t="shared" ref="Z50:Z57" si="19">SUM(L50, S50, X50)</f>
        <v>2</v>
      </c>
      <c r="AA50" s="298">
        <f>IFERROR(VLOOKUP(B50,'Previous Dashboard'!B:CR,25,FALSE),0)</f>
        <v>0</v>
      </c>
      <c r="AB50" s="188">
        <f>IFERROR(VLOOKUP(VLOOKUP($B50,'Pulse Mapping'!$A:$C,3,FALSE),'Pulse Survey'!$A:$J,2,FALSE),0)</f>
        <v>8</v>
      </c>
      <c r="AC50" s="25">
        <f>IFERROR(VLOOKUP(B50,'Previous Dashboard'!B:CR,27,FALSE),0)</f>
        <v>9</v>
      </c>
      <c r="AD50" s="362">
        <f t="shared" ref="AD50:AD57" si="20" xml:space="preserve"> AB50/C50</f>
        <v>0.2857142857142857</v>
      </c>
      <c r="AE50" s="408">
        <f>IFERROR(VLOOKUP(B50,'Staff Engagement'!A:E,5,FALSE),0)</f>
        <v>6.8055555555555562</v>
      </c>
      <c r="AF50" s="409">
        <f>IFERROR(VLOOKUP(B50,'Previous Dashboard'!B:CQ,30,FALSE),0)</f>
        <v>7.7777777777777777</v>
      </c>
      <c r="AG50" s="112">
        <f>IFERROR(VLOOKUP(B50,'Staff Engagement'!A:E,2,FALSE),0)</f>
        <v>7.291666666666667</v>
      </c>
      <c r="AH50" s="409">
        <f>IFERROR(VLOOKUP(B50,'Previous Dashboard'!B:CQ,32,FALSE),0)</f>
        <v>7.9629629629629628</v>
      </c>
      <c r="AI50" s="112">
        <f>IFERROR(VLOOKUP(B50,'Staff Engagement'!A:E,3,FALSE),0)</f>
        <v>5.104166666666667</v>
      </c>
      <c r="AJ50" s="409">
        <f>IFERROR(VLOOKUP(B50,'Previous Dashboard'!B:CQ,34,FALSE),0)</f>
        <v>7.4074074074074074</v>
      </c>
      <c r="AK50" s="112">
        <f>IFERROR(VLOOKUP(B50,'Staff Engagement'!A:E,4,FALSE),0)</f>
        <v>8.0208333333333339</v>
      </c>
      <c r="AL50" s="271">
        <f>IFERROR(VLOOKUP(B50,'Previous Dashboard'!B:CQ,36,FALSE),0)</f>
        <v>7.9629629629629628</v>
      </c>
      <c r="AM50" s="388"/>
      <c r="AN50" s="60">
        <f>IFERROR(VLOOKUP(VLOOKUP($B50,'Pulse Mapping'!$A:$C,3,FALSE),'Pulse Survey'!$A:$J,'Pulse Survey'!C$1,FALSE),0)</f>
        <v>0.625</v>
      </c>
      <c r="AO50" s="63" cm="1">
        <f t="array" ref="AO50">_xlfn.IFS(AN50 = "-",0,AN50 &gt;=Benchmark!R$4,1,AN50&lt;Benchmark!R$4,0)</f>
        <v>0</v>
      </c>
      <c r="AP50" s="43">
        <f>IFERROR(VLOOKUP(B50,'Previous Dashboard'!B:CR,39,FALSE),0)</f>
        <v>0.88888888888888884</v>
      </c>
      <c r="AQ50" s="43">
        <f>IFERROR(VLOOKUP(VLOOKUP($B50,'Pulse Mapping'!$A:$C,3,FALSE),'Pulse Survey'!$A:$J,'Pulse Survey'!D$1,FALSE),0)</f>
        <v>0.875</v>
      </c>
      <c r="AR50" s="63" cm="1">
        <f t="array" ref="AR50">_xlfn.IFS(AQ50 = "-",0,AQ50 &gt;=Benchmark!T$4,1,AQ50&lt;Benchmark!T$4,0)</f>
        <v>1</v>
      </c>
      <c r="AS50" s="24">
        <f>IFERROR(VLOOKUP(B50,'Previous Dashboard'!B:CR,42,FALSE),0)</f>
        <v>0.66666666666666696</v>
      </c>
      <c r="AT50" s="43">
        <f>IFERROR(VLOOKUP(VLOOKUP($B50,'Pulse Mapping'!$A:$C,3,FALSE),'Pulse Survey'!$A:$J,'Pulse Survey'!E$1,FALSE),0)</f>
        <v>0.625</v>
      </c>
      <c r="AU50" s="63" cm="1">
        <f t="array" ref="AU50">_xlfn.IFS(AT50 = "-",0,AT50 &gt;=Benchmark!V$4,1,AT50&lt;Benchmark!V$4,0)</f>
        <v>0</v>
      </c>
      <c r="AV50" s="24">
        <f>IFERROR(VLOOKUP(B50,'Previous Dashboard'!B:CR,45,FALSE),0)</f>
        <v>0.66666666666666663</v>
      </c>
      <c r="AW50" s="43">
        <f>IFERROR(VLOOKUP(VLOOKUP($B50,'Pulse Mapping'!$A:$C,3,FALSE),'Pulse Survey'!$A:$J,'Pulse Survey'!F$1,FALSE),0)</f>
        <v>0.25</v>
      </c>
      <c r="AX50" s="63" cm="1">
        <f t="array" ref="AX50">_xlfn.IFS(AW50 = "-",0,AW50 &gt;=Benchmark!X$4,1,AW50&lt;Benchmark!X$4,0)</f>
        <v>0</v>
      </c>
      <c r="AY50" s="24">
        <f>IFERROR(VLOOKUP(B50,'Previous Dashboard'!B:CR,48,FALSE),0)</f>
        <v>0.66666666666666663</v>
      </c>
      <c r="AZ50" s="43">
        <f>IFERROR(VLOOKUP(VLOOKUP($B50,'Pulse Mapping'!$A:$C,3,FALSE),'Pulse Survey'!$A:$J,'Pulse Survey'!G$1,FALSE),0)</f>
        <v>0.625</v>
      </c>
      <c r="BA50" s="63" cm="1">
        <f t="array" ref="BA50">_xlfn.IFS(AZ50 = "-",0,AZ50 &gt;=Benchmark!Z$4,1,AZ50&lt;Benchmark!Z$4,0)</f>
        <v>0</v>
      </c>
      <c r="BB50" s="24">
        <f>IFERROR(VLOOKUP(B50,'Previous Dashboard'!B:CR,51,FALSE),0)</f>
        <v>0.77777777777777768</v>
      </c>
      <c r="BC50" s="43">
        <f>IFERROR(VLOOKUP(VLOOKUP($B50,'Pulse Mapping'!$A:$C,3,FALSE),'Pulse Survey'!$A:$J,'Pulse Survey'!H$1,FALSE),0)</f>
        <v>0.25</v>
      </c>
      <c r="BD50" s="63" cm="1">
        <f t="array" ref="BD50">_xlfn.IFS(BC50 = "-",0,BC50 &gt;=Benchmark!AB$4,1,BC50&lt;Benchmark!AB$4,0)</f>
        <v>0</v>
      </c>
      <c r="BE50" s="24">
        <f>IFERROR(VLOOKUP(B50,'Previous Dashboard'!B:CR,54,FALSE),0)</f>
        <v>0.66666666666666663</v>
      </c>
      <c r="BF50" s="43">
        <f>IFERROR(VLOOKUP(VLOOKUP($B50,'Pulse Mapping'!$A:$C,3,FALSE),'Pulse Survey'!$A:$J,'Pulse Survey'!I$1,FALSE),0)</f>
        <v>0.375</v>
      </c>
      <c r="BG50" s="63" cm="1">
        <f t="array" ref="BG50">_xlfn.IFS(BF50 = "-",0,BF50 &gt;=Benchmark!AD$4,1,BF50&lt;Benchmark!AD$4,0)</f>
        <v>0</v>
      </c>
      <c r="BH50" s="91">
        <f>IFERROR(VLOOKUP(B50,'Previous Dashboard'!B:CR,57,FALSE),0)</f>
        <v>0.77777777777777768</v>
      </c>
      <c r="BI50" s="44">
        <f>IFERROR(VLOOKUP(VLOOKUP($B50,'Pulse Mapping'!$A:$C,3,FALSE),'Pulse Survey'!$A:$J,'Pulse Survey'!J$1,FALSE),0)</f>
        <v>0.75</v>
      </c>
      <c r="BJ50" s="63" cm="1">
        <f t="array" ref="BJ50">_xlfn.IFS(BI50 = "-",0,BI50 &gt;=Benchmark!AF$4,1,BI50&lt;Benchmark!AF$4,0)</f>
        <v>1</v>
      </c>
      <c r="BK50" s="145">
        <f>IFERROR(VLOOKUP(B50,'Previous Dashboard'!B:CR,60,FALSE),0)</f>
        <v>0.77777777777777768</v>
      </c>
      <c r="BL50" s="225"/>
      <c r="BM50" s="325">
        <f>IFERROR(VLOOKUP(B50,'Previous Dashboard'!B:CR,63,FALSE),0)</f>
        <v>0</v>
      </c>
      <c r="BN50" s="285">
        <f t="shared" si="11"/>
        <v>4</v>
      </c>
      <c r="BO50" s="190">
        <f>IFERROR(VLOOKUP(B50,'Previous Dashboard'!B:CR,65,FALSE),0)</f>
        <v>4</v>
      </c>
      <c r="BP50" s="25">
        <f>IFERROR(VLOOKUP(B50,'Previous Dashboard'!B:CR,66,FALSE),0)</f>
        <v>1</v>
      </c>
      <c r="BQ50" s="288">
        <f>IFERROR(VLOOKUP(B50,'Previous Dashboard'!B:CR,67,FALSE),0)</f>
        <v>5</v>
      </c>
      <c r="BR50" s="99"/>
      <c r="BS50" s="404"/>
      <c r="BT50" s="401" t="s">
        <v>389</v>
      </c>
      <c r="BU50" s="115"/>
      <c r="BV50" s="399" t="s">
        <v>389</v>
      </c>
      <c r="BW50" s="404"/>
      <c r="BX50" s="402" t="s">
        <v>389</v>
      </c>
      <c r="BY50" s="404"/>
      <c r="BZ50" s="402" t="s">
        <v>389</v>
      </c>
      <c r="CA50" s="404"/>
      <c r="CB50" s="428" t="s">
        <v>389</v>
      </c>
      <c r="CC50" s="404"/>
      <c r="CD50" s="428" t="s">
        <v>389</v>
      </c>
      <c r="CE50" s="404"/>
      <c r="CF50" s="428" t="s">
        <v>389</v>
      </c>
      <c r="CG50" s="405"/>
      <c r="CH50" s="410"/>
      <c r="CI50" s="404"/>
      <c r="CJ50" s="114"/>
      <c r="CL50" s="119">
        <f>IFERROR(VLOOKUP(B50,'LfE . HR Ops . F2SU'!A:B,2,FALSE),0)</f>
        <v>8</v>
      </c>
      <c r="CM50" s="119" t="str">
        <f>IFERROR(VLOOKUP(B50,'Previous Dashboard'!B:CR,89,FALSE),0)</f>
        <v>-</v>
      </c>
      <c r="CN50" s="124"/>
      <c r="CO50" s="125"/>
      <c r="CP50" s="126"/>
      <c r="CQ50" s="126"/>
    </row>
    <row r="51" spans="1:95" x14ac:dyDescent="0.25">
      <c r="A51" s="651"/>
      <c r="B51" s="543" t="s">
        <v>15</v>
      </c>
      <c r="C51" s="310">
        <f>IFERROR(VLOOKUP(B51,'Staff In Post'!A:C,3,FALSE),0)</f>
        <v>19</v>
      </c>
      <c r="D51" s="246">
        <f>IFERROR(VLOOKUP(B51,'Mandatory Training'!A:C,3,FALSE),0)</f>
        <v>0.68421052631578949</v>
      </c>
      <c r="E51" s="24">
        <f>IFERROR(VLOOKUP(B51,'Previous Dashboard'!B:CR,3,FALSE),0)</f>
        <v>0.61111111111111116</v>
      </c>
      <c r="F51" s="63">
        <f>IF(D51&gt;=Benchmark!C$4,1,0)</f>
        <v>0</v>
      </c>
      <c r="G51" s="17">
        <f>IFERROR(VLOOKUP(B51,Appraisals!A:C,3,FALSE),0)</f>
        <v>0.41666666666666669</v>
      </c>
      <c r="H51" s="24">
        <f>IFERROR(VLOOKUP(B51,'Previous Dashboard'!B:CR,6,FALSE),0)</f>
        <v>0.76923076923076927</v>
      </c>
      <c r="I51" s="63">
        <f>IF(G51&gt;=Benchmark!E$4,1,0)</f>
        <v>0</v>
      </c>
      <c r="J51" s="59">
        <f t="shared" si="17"/>
        <v>0.55043859649122806</v>
      </c>
      <c r="K51" s="91">
        <f t="shared" si="18"/>
        <v>0.69017094017094016</v>
      </c>
      <c r="L51" s="63">
        <f>IF(J51&gt;=Benchmark!G$4,1,0)</f>
        <v>0</v>
      </c>
      <c r="M51" s="51">
        <f>IFERROR(VLOOKUP(B51,Stress!A:D,4,FALSE),"-")</f>
        <v>0</v>
      </c>
      <c r="N51" s="60">
        <f>IFERROR(VLOOKUP(B51,'Previous Dashboard'!B:CR,12,FALSE),0)</f>
        <v>4.9571315408208798E-2</v>
      </c>
      <c r="O51" s="52">
        <f>IFERROR(VLOOKUP(B51,'Musculo Skeletal'!A:D,4,FALSE),"-")</f>
        <v>0</v>
      </c>
      <c r="P51" s="43">
        <f>IFERROR(VLOOKUP(B51,'Previous Dashboard'!B:CR,14,FALSE),0)</f>
        <v>0</v>
      </c>
      <c r="Q51" s="52">
        <f>IFERROR(VLOOKUP(B51,'All Sickness'!A:D,4,FALSE),"-")</f>
        <v>1.7705677560742399E-3</v>
      </c>
      <c r="R51" s="43">
        <f>IFERROR(VLOOKUP(B51,'Previous Dashboard'!B:CR,16,FALSE),0)</f>
        <v>6.5613556174147297E-2</v>
      </c>
      <c r="S51" s="63">
        <f>IF(Q51&lt;=Benchmark!K$4,1,0)</f>
        <v>1</v>
      </c>
      <c r="T51" s="44">
        <f>IFERROR(VLOOKUP(B51,LT.ST!A:C,3,FALSE),"-")</f>
        <v>0</v>
      </c>
      <c r="U51" s="43">
        <f>IFERROR(VLOOKUP(B51,'Previous Dashboard'!B:CR,19,FALSE),0)</f>
        <v>4.9571315408208798E-2</v>
      </c>
      <c r="V51" s="42">
        <f>IFERROR(VLOOKUP(B51,Turnover!A:C,2,FALSE),0)</f>
        <v>5.4054054054054099E-2</v>
      </c>
      <c r="W51" s="60">
        <f>IFERROR(VLOOKUP(B51,'Previous Dashboard'!B:CR,21,FALSE),0)</f>
        <v>6.0606060606060601E-2</v>
      </c>
      <c r="X51" s="63">
        <f>IF(V51&lt;=Benchmark!N$4,1,0)</f>
        <v>1</v>
      </c>
      <c r="Y51" s="159">
        <f>IFERROR(VLOOKUP(B51,Leavers!A:I,6,FALSE),0)</f>
        <v>1</v>
      </c>
      <c r="Z51" s="247">
        <f t="shared" si="19"/>
        <v>2</v>
      </c>
      <c r="AA51" s="298">
        <f>IFERROR(VLOOKUP(B51,'Previous Dashboard'!B:CR,25,FALSE),0)</f>
        <v>1</v>
      </c>
      <c r="AB51" s="188">
        <f>IFERROR(VLOOKUP(VLOOKUP($B51,'Pulse Mapping'!$A:$C,3,FALSE),'Pulse Survey'!$A:$J,2,FALSE),0)</f>
        <v>36</v>
      </c>
      <c r="AC51" s="25">
        <f>IFERROR(VLOOKUP(B51,'Previous Dashboard'!B:CR,27,FALSE),0)</f>
        <v>34</v>
      </c>
      <c r="AD51" s="362">
        <f t="shared" si="20"/>
        <v>1.8947368421052631</v>
      </c>
      <c r="AE51" s="408">
        <f>IFERROR(VLOOKUP(B51,'Staff Engagement'!A:E,5,FALSE),0)</f>
        <v>6.9212962962962976</v>
      </c>
      <c r="AF51" s="409">
        <f>IFERROR(VLOOKUP(B51,'Previous Dashboard'!B:CQ,30,FALSE),0)</f>
        <v>7.2712418300653603</v>
      </c>
      <c r="AG51" s="112">
        <f>IFERROR(VLOOKUP(B51,'Staff Engagement'!A:E,2,FALSE),0)</f>
        <v>6.9675925925925926</v>
      </c>
      <c r="AH51" s="409">
        <f>IFERROR(VLOOKUP(B51,'Previous Dashboard'!B:CQ,32,FALSE),0)</f>
        <v>7.0098039215686274</v>
      </c>
      <c r="AI51" s="112">
        <f>IFERROR(VLOOKUP(B51,'Staff Engagement'!A:E,3,FALSE),0)</f>
        <v>6.8981481481481479</v>
      </c>
      <c r="AJ51" s="409">
        <f>IFERROR(VLOOKUP(B51,'Previous Dashboard'!B:CQ,34,FALSE),0)</f>
        <v>7.2058823529411766</v>
      </c>
      <c r="AK51" s="112">
        <f>IFERROR(VLOOKUP(B51,'Staff Engagement'!A:E,4,FALSE),0)</f>
        <v>6.8981481481481479</v>
      </c>
      <c r="AL51" s="271">
        <f>IFERROR(VLOOKUP(B51,'Previous Dashboard'!B:CQ,36,FALSE),0)</f>
        <v>7.5980392156862742</v>
      </c>
      <c r="AM51" s="388"/>
      <c r="AN51" s="60">
        <f>IFERROR(VLOOKUP(VLOOKUP($B51,'Pulse Mapping'!$A:$C,3,FALSE),'Pulse Survey'!$A:$J,'Pulse Survey'!C$1,FALSE),0)</f>
        <v>0.66666666666666674</v>
      </c>
      <c r="AO51" s="63" cm="1">
        <f t="array" ref="AO51">_xlfn.IFS(AN51 = "-",0,AN51 &gt;=Benchmark!R$4,1,AN51&lt;Benchmark!R$4,0)</f>
        <v>0</v>
      </c>
      <c r="AP51" s="43">
        <f>IFERROR(VLOOKUP(B51,'Previous Dashboard'!B:CR,39,FALSE),0)</f>
        <v>0.73529411764705888</v>
      </c>
      <c r="AQ51" s="43">
        <f>IFERROR(VLOOKUP(VLOOKUP($B51,'Pulse Mapping'!$A:$C,3,FALSE),'Pulse Survey'!$A:$J,'Pulse Survey'!D$1,FALSE),0)</f>
        <v>0.63888888888888884</v>
      </c>
      <c r="AR51" s="63" cm="1">
        <f t="array" ref="AR51">_xlfn.IFS(AQ51 = "-",0,AQ51 &gt;=Benchmark!T$4,1,AQ51&lt;Benchmark!T$4,0)</f>
        <v>0</v>
      </c>
      <c r="AS51" s="24">
        <f>IFERROR(VLOOKUP(B51,'Previous Dashboard'!B:CR,42,FALSE),0)</f>
        <v>0.61764705882352944</v>
      </c>
      <c r="AT51" s="43">
        <f>IFERROR(VLOOKUP(VLOOKUP($B51,'Pulse Mapping'!$A:$C,3,FALSE),'Pulse Survey'!$A:$J,'Pulse Survey'!E$1,FALSE),0)</f>
        <v>0.61111111111111116</v>
      </c>
      <c r="AU51" s="63" cm="1">
        <f t="array" ref="AU51">_xlfn.IFS(AT51 = "-",0,AT51 &gt;=Benchmark!V$4,1,AT51&lt;Benchmark!V$4,0)</f>
        <v>0</v>
      </c>
      <c r="AV51" s="24">
        <f>IFERROR(VLOOKUP(B51,'Previous Dashboard'!B:CR,45,FALSE),0)</f>
        <v>0.61764705882352944</v>
      </c>
      <c r="AW51" s="43">
        <f>IFERROR(VLOOKUP(VLOOKUP($B51,'Pulse Mapping'!$A:$C,3,FALSE),'Pulse Survey'!$A:$J,'Pulse Survey'!F$1,FALSE),0)</f>
        <v>0.66666666666666663</v>
      </c>
      <c r="AX51" s="63" cm="1">
        <f t="array" ref="AX51">_xlfn.IFS(AW51 = "-",0,AW51 &gt;=Benchmark!X$4,1,AW51&lt;Benchmark!X$4,0)</f>
        <v>0</v>
      </c>
      <c r="AY51" s="24">
        <f>IFERROR(VLOOKUP(B51,'Previous Dashboard'!B:CR,48,FALSE),0)</f>
        <v>0.70588235294117641</v>
      </c>
      <c r="AZ51" s="43">
        <f>IFERROR(VLOOKUP(VLOOKUP($B51,'Pulse Mapping'!$A:$C,3,FALSE),'Pulse Survey'!$A:$J,'Pulse Survey'!G$1,FALSE),0)</f>
        <v>0.61111111111111116</v>
      </c>
      <c r="BA51" s="63" cm="1">
        <f t="array" ref="BA51">_xlfn.IFS(AZ51 = "-",0,AZ51 &gt;=Benchmark!Z$4,1,AZ51&lt;Benchmark!Z$4,0)</f>
        <v>0</v>
      </c>
      <c r="BB51" s="24">
        <f>IFERROR(VLOOKUP(B51,'Previous Dashboard'!B:CR,51,FALSE),0)</f>
        <v>0.76470588235294124</v>
      </c>
      <c r="BC51" s="43">
        <f>IFERROR(VLOOKUP(VLOOKUP($B51,'Pulse Mapping'!$A:$C,3,FALSE),'Pulse Survey'!$A:$J,'Pulse Survey'!H$1,FALSE),0)</f>
        <v>0.63888888888888884</v>
      </c>
      <c r="BD51" s="63" cm="1">
        <f t="array" ref="BD51">_xlfn.IFS(BC51 = "-",0,BC51 &gt;=Benchmark!AB$4,1,BC51&lt;Benchmark!AB$4,0)</f>
        <v>0</v>
      </c>
      <c r="BE51" s="24">
        <f>IFERROR(VLOOKUP(B51,'Previous Dashboard'!B:CR,54,FALSE),0)</f>
        <v>0.64705882352941169</v>
      </c>
      <c r="BF51" s="43">
        <f>IFERROR(VLOOKUP(VLOOKUP($B51,'Pulse Mapping'!$A:$C,3,FALSE),'Pulse Survey'!$A:$J,'Pulse Survey'!I$1,FALSE),0)</f>
        <v>0.77777777777777768</v>
      </c>
      <c r="BG51" s="63" cm="1">
        <f t="array" ref="BG51">_xlfn.IFS(BF51 = "-",0,BF51 &gt;=Benchmark!AD$4,1,BF51&lt;Benchmark!AD$4,0)</f>
        <v>1</v>
      </c>
      <c r="BH51" s="91">
        <f>IFERROR(VLOOKUP(B51,'Previous Dashboard'!B:CR,57,FALSE),0)</f>
        <v>0.85294117647058831</v>
      </c>
      <c r="BI51" s="44">
        <f>IFERROR(VLOOKUP(VLOOKUP($B51,'Pulse Mapping'!$A:$C,3,FALSE),'Pulse Survey'!$A:$J,'Pulse Survey'!J$1,FALSE),0)</f>
        <v>0.66666666666666663</v>
      </c>
      <c r="BJ51" s="63" cm="1">
        <f t="array" ref="BJ51">_xlfn.IFS(BI51 = "-",0,BI51 &gt;=Benchmark!AF$4,1,BI51&lt;Benchmark!AF$4,0)</f>
        <v>0</v>
      </c>
      <c r="BK51" s="145">
        <f>IFERROR(VLOOKUP(B51,'Previous Dashboard'!B:CR,60,FALSE),0)</f>
        <v>0.58823529411764708</v>
      </c>
      <c r="BL51" s="224">
        <f t="shared" ref="BL51:BL56" si="21">SUM(AO51, AR51, AU51, AX51, BA51, BD51, BG51, BJ51)</f>
        <v>1</v>
      </c>
      <c r="BM51" s="325">
        <f>IFERROR(VLOOKUP(B51,'Previous Dashboard'!B:CR,63,FALSE),0)</f>
        <v>4</v>
      </c>
      <c r="BN51" s="285">
        <f t="shared" si="11"/>
        <v>3</v>
      </c>
      <c r="BO51" s="190">
        <f>IFERROR(VLOOKUP(B51,'Previous Dashboard'!B:CR,65,FALSE),0)</f>
        <v>5</v>
      </c>
      <c r="BP51" s="25">
        <f>IFERROR(VLOOKUP(B51,'Previous Dashboard'!B:CR,66,FALSE),0)</f>
        <v>2</v>
      </c>
      <c r="BQ51" s="288">
        <f>IFERROR(VLOOKUP(B51,'Previous Dashboard'!B:CR,67,FALSE),0)</f>
        <v>10</v>
      </c>
      <c r="BR51" s="99"/>
      <c r="BS51" s="140">
        <f>IFERROR(VLOOKUP(B51,'Staff Survey'!B:L,3,FALSE),"-")</f>
        <v>8.5</v>
      </c>
      <c r="BT51" s="402" t="s">
        <v>389</v>
      </c>
      <c r="BU51" s="137">
        <f>IFERROR(VLOOKUP(B51,'Staff Survey'!B:L,4,FALSE),"-")</f>
        <v>7.9</v>
      </c>
      <c r="BV51" s="399" t="s">
        <v>389</v>
      </c>
      <c r="BW51" s="403">
        <f>IFERROR(VLOOKUP(B51,'Staff Survey'!B:L,5,FALSE),"-")</f>
        <v>8.4</v>
      </c>
      <c r="BX51" s="402" t="s">
        <v>389</v>
      </c>
      <c r="BY51" s="403">
        <f>IFERROR(VLOOKUP(B51,'Staff Survey'!B:L,6,FALSE),"-")</f>
        <v>6.6</v>
      </c>
      <c r="BZ51" s="402" t="s">
        <v>389</v>
      </c>
      <c r="CA51" s="403">
        <f>IFERROR(VLOOKUP(B51,'Staff Survey'!B:L,7,FALSE),"-")</f>
        <v>7</v>
      </c>
      <c r="CB51" s="428" t="s">
        <v>389</v>
      </c>
      <c r="CC51" s="403">
        <f>IFERROR(VLOOKUP(B51,'Staff Survey'!B:L,8,FALSE),"-")</f>
        <v>7.4</v>
      </c>
      <c r="CD51" s="428" t="s">
        <v>389</v>
      </c>
      <c r="CE51" s="403">
        <f>IFERROR(VLOOKUP(B51,'Staff Survey'!B:L,9,FALSE),"-")</f>
        <v>7.9</v>
      </c>
      <c r="CF51" s="428" t="s">
        <v>389</v>
      </c>
      <c r="CG51" s="140">
        <f>IFERROR(VLOOKUP(B51,'Staff Survey'!B:L,10,FALSE),"-")</f>
        <v>8.1</v>
      </c>
      <c r="CH51" s="417" t="s">
        <v>389</v>
      </c>
      <c r="CI51" s="412">
        <f>IFERROR(VLOOKUP(B51,'Staff Survey'!B:L,11,FALSE),"-")</f>
        <v>6.6</v>
      </c>
      <c r="CJ51" s="419" t="s">
        <v>389</v>
      </c>
      <c r="CL51" s="119" t="str">
        <f>IFERROR(VLOOKUP(B51,'LfE . HR Ops . F2SU'!A:B,2,FALSE),0)</f>
        <v>-</v>
      </c>
      <c r="CM51" s="119">
        <f>IFERROR(VLOOKUP(B51,'Previous Dashboard'!B:CR,89,FALSE),0)</f>
        <v>6</v>
      </c>
      <c r="CN51" s="124"/>
      <c r="CO51" s="125"/>
      <c r="CP51" s="126"/>
      <c r="CQ51" s="126"/>
    </row>
    <row r="52" spans="1:95" x14ac:dyDescent="0.25">
      <c r="A52" s="651"/>
      <c r="B52" s="543" t="s">
        <v>16</v>
      </c>
      <c r="C52" s="310">
        <f>IFERROR(VLOOKUP(B52,'Staff In Post'!A:C,3,FALSE),0)</f>
        <v>149</v>
      </c>
      <c r="D52" s="246">
        <f>IFERROR(VLOOKUP(B52,'Mandatory Training'!A:C,3,FALSE),0)</f>
        <v>0.73611111111111116</v>
      </c>
      <c r="E52" s="24">
        <f>IFERROR(VLOOKUP(B52,'Previous Dashboard'!B:CR,3,FALSE),0)</f>
        <v>0.77931034482758621</v>
      </c>
      <c r="F52" s="63">
        <f>IF(D52&gt;=Benchmark!C$4,1,0)</f>
        <v>0</v>
      </c>
      <c r="G52" s="17">
        <f>IFERROR(VLOOKUP(B52,Appraisals!A:C,3,FALSE),0)</f>
        <v>0.80645161290322576</v>
      </c>
      <c r="H52" s="24">
        <f>IFERROR(VLOOKUP(B52,'Previous Dashboard'!B:CR,6,FALSE),0)</f>
        <v>0.7967479674796748</v>
      </c>
      <c r="I52" s="63">
        <f>IF(G52&gt;=Benchmark!E$4,1,0)</f>
        <v>0</v>
      </c>
      <c r="J52" s="59">
        <f t="shared" si="17"/>
        <v>0.77128136200716846</v>
      </c>
      <c r="K52" s="91">
        <f t="shared" si="18"/>
        <v>0.78802915615363056</v>
      </c>
      <c r="L52" s="63">
        <f>IF(J52&gt;=Benchmark!G$4,1,0)</f>
        <v>0</v>
      </c>
      <c r="M52" s="51">
        <f>IFERROR(VLOOKUP(B52,Stress!A:D,4,FALSE),"-")</f>
        <v>2.5145048704283E-2</v>
      </c>
      <c r="N52" s="60">
        <f>IFERROR(VLOOKUP(B52,'Previous Dashboard'!B:CR,12,FALSE),0)</f>
        <v>1.88348546096841E-2</v>
      </c>
      <c r="O52" s="52">
        <f>IFERROR(VLOOKUP(B52,'Musculo Skeletal'!A:D,4,FALSE),"-")</f>
        <v>4.4963420424481097E-3</v>
      </c>
      <c r="P52" s="43">
        <f>IFERROR(VLOOKUP(B52,'Previous Dashboard'!B:CR,14,FALSE),0)</f>
        <v>4.96062014411434E-3</v>
      </c>
      <c r="Q52" s="52">
        <f>IFERROR(VLOOKUP(B52,'All Sickness'!A:D,4,FALSE),"-")</f>
        <v>4.1477580339307901E-2</v>
      </c>
      <c r="R52" s="43">
        <f>IFERROR(VLOOKUP(B52,'Previous Dashboard'!B:CR,16,FALSE),0)</f>
        <v>3.7039273306415502E-2</v>
      </c>
      <c r="S52" s="63">
        <f>IF(Q52&lt;=Benchmark!K$4,1,0)</f>
        <v>0</v>
      </c>
      <c r="T52" s="44">
        <f>IFERROR(VLOOKUP(B52,LT.ST!A:C,3,FALSE),"-")</f>
        <v>2.80120534741468E-2</v>
      </c>
      <c r="U52" s="43">
        <f>IFERROR(VLOOKUP(B52,'Previous Dashboard'!B:CR,19,FALSE),0)</f>
        <v>2.21315765691876E-2</v>
      </c>
      <c r="V52" s="42">
        <f>IFERROR(VLOOKUP(B52,Turnover!A:C,2,FALSE),0)</f>
        <v>3.3898305084745797E-2</v>
      </c>
      <c r="W52" s="60">
        <f>IFERROR(VLOOKUP(B52,'Previous Dashboard'!B:CR,21,FALSE),0)</f>
        <v>1.3559322033898299E-2</v>
      </c>
      <c r="X52" s="63">
        <f>IF(V52&lt;=Benchmark!N$4,1,0)</f>
        <v>1</v>
      </c>
      <c r="Y52" s="159">
        <f>IFERROR(VLOOKUP(B52,Leavers!A:I,6,FALSE),0)</f>
        <v>5</v>
      </c>
      <c r="Z52" s="247">
        <f t="shared" si="19"/>
        <v>1</v>
      </c>
      <c r="AA52" s="298">
        <f>IFERROR(VLOOKUP(B52,'Previous Dashboard'!B:CR,25,FALSE),0)</f>
        <v>2</v>
      </c>
      <c r="AB52" s="188">
        <f>IFERROR(VLOOKUP(VLOOKUP($B52,'Pulse Mapping'!$A:$C,3,FALSE),'Pulse Survey'!$A:$J,2,FALSE),0)</f>
        <v>42</v>
      </c>
      <c r="AC52" s="25">
        <f>IFERROR(VLOOKUP(B52,'Previous Dashboard'!B:CR,27,FALSE),0)</f>
        <v>31</v>
      </c>
      <c r="AD52" s="362">
        <f t="shared" si="20"/>
        <v>0.28187919463087246</v>
      </c>
      <c r="AE52" s="408">
        <f>IFERROR(VLOOKUP(B52,'Staff Engagement'!A:E,5,FALSE),0)</f>
        <v>7.9894179894179889</v>
      </c>
      <c r="AF52" s="409">
        <f>IFERROR(VLOOKUP(B52,'Previous Dashboard'!B:CQ,30,FALSE),0)</f>
        <v>7.4910394265232982</v>
      </c>
      <c r="AG52" s="112">
        <f>IFERROR(VLOOKUP(B52,'Staff Engagement'!A:E,2,FALSE),0)</f>
        <v>8.3333333333333339</v>
      </c>
      <c r="AH52" s="409">
        <f>IFERROR(VLOOKUP(B52,'Previous Dashboard'!B:CQ,32,FALSE),0)</f>
        <v>7.60752688172043</v>
      </c>
      <c r="AI52" s="112">
        <f>IFERROR(VLOOKUP(B52,'Staff Engagement'!A:E,3,FALSE),0)</f>
        <v>7.837301587301587</v>
      </c>
      <c r="AJ52" s="409">
        <f>IFERROR(VLOOKUP(B52,'Previous Dashboard'!B:CQ,34,FALSE),0)</f>
        <v>7.419354838709677</v>
      </c>
      <c r="AK52" s="112">
        <f>IFERROR(VLOOKUP(B52,'Staff Engagement'!A:E,4,FALSE),0)</f>
        <v>7.7976190476190474</v>
      </c>
      <c r="AL52" s="271">
        <f>IFERROR(VLOOKUP(B52,'Previous Dashboard'!B:CQ,36,FALSE),0)</f>
        <v>7.446236559139785</v>
      </c>
      <c r="AM52" s="388"/>
      <c r="AN52" s="60">
        <f>IFERROR(VLOOKUP(VLOOKUP($B52,'Pulse Mapping'!$A:$C,3,FALSE),'Pulse Survey'!$A:$J,'Pulse Survey'!C$1,FALSE),0)</f>
        <v>0.88095238095238093</v>
      </c>
      <c r="AO52" s="63" cm="1">
        <f t="array" ref="AO52">_xlfn.IFS(AN52 = "-",0,AN52 &gt;=Benchmark!R$4,1,AN52&lt;Benchmark!R$4,0)</f>
        <v>1</v>
      </c>
      <c r="AP52" s="43">
        <f>IFERROR(VLOOKUP(B52,'Previous Dashboard'!B:CR,39,FALSE),0)</f>
        <v>0.74193548387096775</v>
      </c>
      <c r="AQ52" s="43">
        <f>IFERROR(VLOOKUP(VLOOKUP($B52,'Pulse Mapping'!$A:$C,3,FALSE),'Pulse Survey'!$A:$J,'Pulse Survey'!D$1,FALSE),0)</f>
        <v>0.9285714285714286</v>
      </c>
      <c r="AR52" s="63" cm="1">
        <f t="array" ref="AR52">_xlfn.IFS(AQ52 = "-",0,AQ52 &gt;=Benchmark!T$4,1,AQ52&lt;Benchmark!T$4,0)</f>
        <v>1</v>
      </c>
      <c r="AS52" s="24">
        <f>IFERROR(VLOOKUP(B52,'Previous Dashboard'!B:CR,42,FALSE),0)</f>
        <v>0.74193548387096775</v>
      </c>
      <c r="AT52" s="43">
        <f>IFERROR(VLOOKUP(VLOOKUP($B52,'Pulse Mapping'!$A:$C,3,FALSE),'Pulse Survey'!$A:$J,'Pulse Survey'!E$1,FALSE),0)</f>
        <v>0.83333333333333326</v>
      </c>
      <c r="AU52" s="63" cm="1">
        <f t="array" ref="AU52">_xlfn.IFS(AT52 = "-",0,AT52 &gt;=Benchmark!V$4,1,AT52&lt;Benchmark!V$4,0)</f>
        <v>1</v>
      </c>
      <c r="AV52" s="24">
        <f>IFERROR(VLOOKUP(B52,'Previous Dashboard'!B:CR,45,FALSE),0)</f>
        <v>0.64516129032258074</v>
      </c>
      <c r="AW52" s="43">
        <f>IFERROR(VLOOKUP(VLOOKUP($B52,'Pulse Mapping'!$A:$C,3,FALSE),'Pulse Survey'!$A:$J,'Pulse Survey'!F$1,FALSE),0)</f>
        <v>0.7857142857142857</v>
      </c>
      <c r="AX52" s="63" cm="1">
        <f t="array" ref="AX52">_xlfn.IFS(AW52 = "-",0,AW52 &gt;=Benchmark!X$4,1,AW52&lt;Benchmark!X$4,0)</f>
        <v>1</v>
      </c>
      <c r="AY52" s="24">
        <f>IFERROR(VLOOKUP(B52,'Previous Dashboard'!B:CR,48,FALSE),0)</f>
        <v>0.77419354838709675</v>
      </c>
      <c r="AZ52" s="43">
        <f>IFERROR(VLOOKUP(VLOOKUP($B52,'Pulse Mapping'!$A:$C,3,FALSE),'Pulse Survey'!$A:$J,'Pulse Survey'!G$1,FALSE),0)</f>
        <v>0.88095238095238093</v>
      </c>
      <c r="BA52" s="63" cm="1">
        <f t="array" ref="BA52">_xlfn.IFS(AZ52 = "-",0,AZ52 &gt;=Benchmark!Z$4,1,AZ52&lt;Benchmark!Z$4,0)</f>
        <v>1</v>
      </c>
      <c r="BB52" s="24">
        <f>IFERROR(VLOOKUP(B52,'Previous Dashboard'!B:CR,51,FALSE),0)</f>
        <v>0.90322580645161288</v>
      </c>
      <c r="BC52" s="43">
        <f>IFERROR(VLOOKUP(VLOOKUP($B52,'Pulse Mapping'!$A:$C,3,FALSE),'Pulse Survey'!$A:$J,'Pulse Survey'!H$1,FALSE),0)</f>
        <v>0.83333333333333326</v>
      </c>
      <c r="BD52" s="63" cm="1">
        <f t="array" ref="BD52">_xlfn.IFS(BC52 = "-",0,BC52 &gt;=Benchmark!AB$4,1,BC52&lt;Benchmark!AB$4,0)</f>
        <v>1</v>
      </c>
      <c r="BE52" s="24">
        <f>IFERROR(VLOOKUP(B52,'Previous Dashboard'!B:CR,54,FALSE),0)</f>
        <v>0.77419354838709675</v>
      </c>
      <c r="BF52" s="43">
        <f>IFERROR(VLOOKUP(VLOOKUP($B52,'Pulse Mapping'!$A:$C,3,FALSE),'Pulse Survey'!$A:$J,'Pulse Survey'!I$1,FALSE),0)</f>
        <v>0.83333333333333326</v>
      </c>
      <c r="BG52" s="63" cm="1">
        <f t="array" ref="BG52">_xlfn.IFS(BF52 = "-",0,BF52 &gt;=Benchmark!AD$4,1,BF52&lt;Benchmark!AD$4,0)</f>
        <v>1</v>
      </c>
      <c r="BH52" s="91">
        <f>IFERROR(VLOOKUP(B52,'Previous Dashboard'!B:CR,57,FALSE),0)</f>
        <v>0.83870967741935476</v>
      </c>
      <c r="BI52" s="44">
        <f>IFERROR(VLOOKUP(VLOOKUP($B52,'Pulse Mapping'!$A:$C,3,FALSE),'Pulse Survey'!$A:$J,'Pulse Survey'!J$1,FALSE),0)</f>
        <v>0.78571428571428581</v>
      </c>
      <c r="BJ52" s="63" cm="1">
        <f t="array" ref="BJ52">_xlfn.IFS(BI52 = "-",0,BI52 &gt;=Benchmark!AF$4,1,BI52&lt;Benchmark!AF$4,0)</f>
        <v>1</v>
      </c>
      <c r="BK52" s="145">
        <f>IFERROR(VLOOKUP(B52,'Previous Dashboard'!B:CR,60,FALSE),0)</f>
        <v>0.74193548387096775</v>
      </c>
      <c r="BL52" s="224">
        <f t="shared" si="21"/>
        <v>8</v>
      </c>
      <c r="BM52" s="325">
        <f>IFERROR(VLOOKUP(B52,'Previous Dashboard'!B:CR,63,FALSE),0)</f>
        <v>7</v>
      </c>
      <c r="BN52" s="285">
        <f t="shared" si="11"/>
        <v>9</v>
      </c>
      <c r="BO52" s="190">
        <f>IFERROR(VLOOKUP(B52,'Previous Dashboard'!B:CR,65,FALSE),0)</f>
        <v>9</v>
      </c>
      <c r="BP52" s="25">
        <f>IFERROR(VLOOKUP(B52,'Previous Dashboard'!B:CR,66,FALSE),0)</f>
        <v>1</v>
      </c>
      <c r="BQ52" s="288">
        <f>IFERROR(VLOOKUP(B52,'Previous Dashboard'!B:CR,67,FALSE),0)</f>
        <v>10</v>
      </c>
      <c r="BR52" s="99"/>
      <c r="BS52" s="403">
        <f>IFERROR(VLOOKUP(B52,'Staff Survey'!B:L,3,FALSE),"-")</f>
        <v>8</v>
      </c>
      <c r="BT52" s="401" t="s">
        <v>389</v>
      </c>
      <c r="BU52" s="136">
        <f>IFERROR(VLOOKUP(B52,'Staff Survey'!B:L,4,FALSE),"-")</f>
        <v>6.9</v>
      </c>
      <c r="BV52" s="399" t="s">
        <v>389</v>
      </c>
      <c r="BW52" s="403">
        <f>IFERROR(VLOOKUP(B52,'Staff Survey'!B:L,5,FALSE),"-")</f>
        <v>7.7</v>
      </c>
      <c r="BX52" s="402" t="s">
        <v>389</v>
      </c>
      <c r="BY52" s="403">
        <f>IFERROR(VLOOKUP(B52,'Staff Survey'!B:L,6,FALSE),"-")</f>
        <v>6.6</v>
      </c>
      <c r="BZ52" s="402" t="s">
        <v>389</v>
      </c>
      <c r="CA52" s="403">
        <f>IFERROR(VLOOKUP(B52,'Staff Survey'!B:L,7,FALSE),"-")</f>
        <v>6.5</v>
      </c>
      <c r="CB52" s="428" t="s">
        <v>389</v>
      </c>
      <c r="CC52" s="403">
        <f>IFERROR(VLOOKUP(B52,'Staff Survey'!B:L,8,FALSE),"-")</f>
        <v>7.2</v>
      </c>
      <c r="CD52" s="428" t="s">
        <v>389</v>
      </c>
      <c r="CE52" s="403">
        <f>IFERROR(VLOOKUP(B52,'Staff Survey'!B:L,9,FALSE),"-")</f>
        <v>7.3</v>
      </c>
      <c r="CF52" s="428" t="s">
        <v>389</v>
      </c>
      <c r="CG52" s="140">
        <f>IFERROR(VLOOKUP(B52,'Staff Survey'!B:L,10,FALSE),"-")</f>
        <v>7.8</v>
      </c>
      <c r="CH52" s="277">
        <v>7.8</v>
      </c>
      <c r="CI52" s="412">
        <f>IFERROR(VLOOKUP(B52,'Staff Survey'!B:L,11,FALSE),"-")</f>
        <v>6.5</v>
      </c>
      <c r="CJ52" s="111">
        <v>7</v>
      </c>
      <c r="CL52" s="119" t="str">
        <f>IFERROR(VLOOKUP(B52,'LfE . HR Ops . F2SU'!A:B,2,FALSE),0)</f>
        <v>-</v>
      </c>
      <c r="CM52" s="119" t="str">
        <f>IFERROR(VLOOKUP(B52,'Previous Dashboard'!B:CR,89,FALSE),0)</f>
        <v>-</v>
      </c>
      <c r="CN52" s="124"/>
      <c r="CO52" s="125"/>
      <c r="CP52" s="126"/>
      <c r="CQ52" s="126"/>
    </row>
    <row r="53" spans="1:95" x14ac:dyDescent="0.25">
      <c r="A53" s="651"/>
      <c r="B53" s="543" t="s">
        <v>17</v>
      </c>
      <c r="C53" s="310">
        <f>IFERROR(VLOOKUP(B53,'Staff In Post'!A:C,3,FALSE),0)</f>
        <v>249</v>
      </c>
      <c r="D53" s="246">
        <f>IFERROR(VLOOKUP(B53,'Mandatory Training'!A:C,3,FALSE),0)</f>
        <v>0.82</v>
      </c>
      <c r="E53" s="24">
        <f>IFERROR(VLOOKUP(B53,'Previous Dashboard'!B:CR,3,FALSE),0)</f>
        <v>0.82269503546099287</v>
      </c>
      <c r="F53" s="63">
        <f>IF(D53&gt;=Benchmark!C$4,1,0)</f>
        <v>0</v>
      </c>
      <c r="G53" s="17">
        <f>IFERROR(VLOOKUP(B53,Appraisals!A:C,3,FALSE),0)</f>
        <v>0.80327868852459017</v>
      </c>
      <c r="H53" s="24">
        <f>IFERROR(VLOOKUP(B53,'Previous Dashboard'!B:CR,6,FALSE),0)</f>
        <v>0.72566371681415931</v>
      </c>
      <c r="I53" s="63">
        <f>IF(G53&gt;=Benchmark!E$4,1,0)</f>
        <v>0</v>
      </c>
      <c r="J53" s="59">
        <f t="shared" si="17"/>
        <v>0.81163934426229511</v>
      </c>
      <c r="K53" s="91">
        <f t="shared" si="18"/>
        <v>0.77417937613757615</v>
      </c>
      <c r="L53" s="63">
        <f>IF(J53&gt;=Benchmark!G$4,1,0)</f>
        <v>0</v>
      </c>
      <c r="M53" s="51">
        <f>IFERROR(VLOOKUP(B53,Stress!A:D,4,FALSE),"-")</f>
        <v>3.4115773648861099E-3</v>
      </c>
      <c r="N53" s="60">
        <f>IFERROR(VLOOKUP(B53,'Previous Dashboard'!B:CR,12,FALSE),0)</f>
        <v>1.03792820775801E-3</v>
      </c>
      <c r="O53" s="52">
        <f>IFERROR(VLOOKUP(B53,'Musculo Skeletal'!A:D,4,FALSE),"-")</f>
        <v>4.0270705193193998E-3</v>
      </c>
      <c r="P53" s="43">
        <f>IFERROR(VLOOKUP(B53,'Previous Dashboard'!B:CR,14,FALSE),0)</f>
        <v>7.5084168220792104E-4</v>
      </c>
      <c r="Q53" s="52">
        <f>IFERROR(VLOOKUP(B53,'All Sickness'!A:D,4,FALSE),"-")</f>
        <v>2.3856563523524499E-2</v>
      </c>
      <c r="R53" s="43">
        <f>IFERROR(VLOOKUP(B53,'Previous Dashboard'!B:CR,16,FALSE),0)</f>
        <v>1.99416450923811E-2</v>
      </c>
      <c r="S53" s="63">
        <f>IF(Q53&lt;=Benchmark!K$4,1,0)</f>
        <v>1</v>
      </c>
      <c r="T53" s="44">
        <f>IFERROR(VLOOKUP(B53,LT.ST!A:C,3,FALSE),"-")</f>
        <v>1.43348780610553E-2</v>
      </c>
      <c r="U53" s="43">
        <f>IFERROR(VLOOKUP(B53,'Previous Dashboard'!B:CR,19,FALSE),0)</f>
        <v>4.4579287047047797E-3</v>
      </c>
      <c r="V53" s="42">
        <f>IFERROR(VLOOKUP(B53,Turnover!A:C,2,FALSE),0)</f>
        <v>2.1052631578947399E-2</v>
      </c>
      <c r="W53" s="60">
        <f>IFERROR(VLOOKUP(B53,'Previous Dashboard'!B:CR,21,FALSE),0)</f>
        <v>5.6737588652482303E-2</v>
      </c>
      <c r="X53" s="63">
        <f>IF(V53&lt;=Benchmark!N$4,1,0)</f>
        <v>1</v>
      </c>
      <c r="Y53" s="159">
        <f>IFERROR(VLOOKUP(B53,Leavers!A:I,6,FALSE),0)</f>
        <v>3</v>
      </c>
      <c r="Z53" s="247">
        <f t="shared" si="19"/>
        <v>2</v>
      </c>
      <c r="AA53" s="298">
        <f>IFERROR(VLOOKUP(B53,'Previous Dashboard'!B:CR,25,FALSE),0)</f>
        <v>2</v>
      </c>
      <c r="AB53" s="188">
        <f>IFERROR(VLOOKUP(VLOOKUP($B53,'Pulse Mapping'!$A:$C,3,FALSE),'Pulse Survey'!$A:$J,2,FALSE),0)</f>
        <v>46</v>
      </c>
      <c r="AC53" s="25">
        <f>IFERROR(VLOOKUP(B53,'Previous Dashboard'!B:CR,27,FALSE),0)</f>
        <v>54</v>
      </c>
      <c r="AD53" s="362">
        <f t="shared" si="20"/>
        <v>0.18473895582329317</v>
      </c>
      <c r="AE53" s="408">
        <f>IFERROR(VLOOKUP(B53,'Staff Engagement'!A:E,5,FALSE),0)</f>
        <v>7.7113526570048316</v>
      </c>
      <c r="AF53" s="409">
        <f>IFERROR(VLOOKUP(B53,'Previous Dashboard'!B:CQ,30,FALSE),0)</f>
        <v>7.7160493827160481</v>
      </c>
      <c r="AG53" s="112">
        <f>IFERROR(VLOOKUP(B53,'Staff Engagement'!A:E,2,FALSE),0)</f>
        <v>7.6449275362318838</v>
      </c>
      <c r="AH53" s="409">
        <f>IFERROR(VLOOKUP(B53,'Previous Dashboard'!B:CQ,32,FALSE),0)</f>
        <v>7.6388888888888893</v>
      </c>
      <c r="AI53" s="112">
        <f>IFERROR(VLOOKUP(B53,'Staff Engagement'!A:E,3,FALSE),0)</f>
        <v>7.7898550724637685</v>
      </c>
      <c r="AJ53" s="409">
        <f>IFERROR(VLOOKUP(B53,'Previous Dashboard'!B:CQ,34,FALSE),0)</f>
        <v>7.8858024691358022</v>
      </c>
      <c r="AK53" s="112">
        <f>IFERROR(VLOOKUP(B53,'Staff Engagement'!A:E,4,FALSE),0)</f>
        <v>7.6992753623188408</v>
      </c>
      <c r="AL53" s="271">
        <f>IFERROR(VLOOKUP(B53,'Previous Dashboard'!B:CQ,36,FALSE),0)</f>
        <v>7.6234567901234565</v>
      </c>
      <c r="AM53" s="388"/>
      <c r="AN53" s="60">
        <f>IFERROR(VLOOKUP(VLOOKUP($B53,'Pulse Mapping'!$A:$C,3,FALSE),'Pulse Survey'!$A:$J,'Pulse Survey'!C$1,FALSE),0)</f>
        <v>0.91304347826086962</v>
      </c>
      <c r="AO53" s="63" cm="1">
        <f t="array" ref="AO53">_xlfn.IFS(AN53 = "-",0,AN53 &gt;=Benchmark!R$4,1,AN53&lt;Benchmark!R$4,0)</f>
        <v>1</v>
      </c>
      <c r="AP53" s="43">
        <f>IFERROR(VLOOKUP(B53,'Previous Dashboard'!B:CR,39,FALSE),0)</f>
        <v>0.88888888888888895</v>
      </c>
      <c r="AQ53" s="43">
        <f>IFERROR(VLOOKUP(VLOOKUP($B53,'Pulse Mapping'!$A:$C,3,FALSE),'Pulse Survey'!$A:$J,'Pulse Survey'!D$1,FALSE),0)</f>
        <v>0.76086956521739135</v>
      </c>
      <c r="AR53" s="63" cm="1">
        <f t="array" ref="AR53">_xlfn.IFS(AQ53 = "-",0,AQ53 &gt;=Benchmark!T$4,1,AQ53&lt;Benchmark!T$4,0)</f>
        <v>1</v>
      </c>
      <c r="AS53" s="24">
        <f>IFERROR(VLOOKUP(B53,'Previous Dashboard'!B:CR,42,FALSE),0)</f>
        <v>0.7592592592592593</v>
      </c>
      <c r="AT53" s="43">
        <f>IFERROR(VLOOKUP(VLOOKUP($B53,'Pulse Mapping'!$A:$C,3,FALSE),'Pulse Survey'!$A:$J,'Pulse Survey'!E$1,FALSE),0)</f>
        <v>0.80434782608695654</v>
      </c>
      <c r="AU53" s="63" cm="1">
        <f t="array" ref="AU53">_xlfn.IFS(AT53 = "-",0,AT53 &gt;=Benchmark!V$4,1,AT53&lt;Benchmark!V$4,0)</f>
        <v>1</v>
      </c>
      <c r="AV53" s="24">
        <f>IFERROR(VLOOKUP(B53,'Previous Dashboard'!B:CR,45,FALSE),0)</f>
        <v>0.81481481481481488</v>
      </c>
      <c r="AW53" s="43">
        <f>IFERROR(VLOOKUP(VLOOKUP($B53,'Pulse Mapping'!$A:$C,3,FALSE),'Pulse Survey'!$A:$J,'Pulse Survey'!F$1,FALSE),0)</f>
        <v>0.82608695652173914</v>
      </c>
      <c r="AX53" s="63" cm="1">
        <f t="array" ref="AX53">_xlfn.IFS(AW53 = "-",0,AW53 &gt;=Benchmark!X$4,1,AW53&lt;Benchmark!X$4,0)</f>
        <v>1</v>
      </c>
      <c r="AY53" s="24">
        <f>IFERROR(VLOOKUP(B53,'Previous Dashboard'!B:CR,48,FALSE),0)</f>
        <v>0.83333333333333326</v>
      </c>
      <c r="AZ53" s="43">
        <f>IFERROR(VLOOKUP(VLOOKUP($B53,'Pulse Mapping'!$A:$C,3,FALSE),'Pulse Survey'!$A:$J,'Pulse Survey'!G$1,FALSE),0)</f>
        <v>0.84782608695652173</v>
      </c>
      <c r="BA53" s="63" cm="1">
        <f t="array" ref="BA53">_xlfn.IFS(AZ53 = "-",0,AZ53 &gt;=Benchmark!Z$4,1,AZ53&lt;Benchmark!Z$4,0)</f>
        <v>1</v>
      </c>
      <c r="BB53" s="24">
        <f>IFERROR(VLOOKUP(B53,'Previous Dashboard'!B:CR,51,FALSE),0)</f>
        <v>0.85185185185185186</v>
      </c>
      <c r="BC53" s="43">
        <f>IFERROR(VLOOKUP(VLOOKUP($B53,'Pulse Mapping'!$A:$C,3,FALSE),'Pulse Survey'!$A:$J,'Pulse Survey'!H$1,FALSE),0)</f>
        <v>0.78260869565217384</v>
      </c>
      <c r="BD53" s="63" cm="1">
        <f t="array" ref="BD53">_xlfn.IFS(BC53 = "-",0,BC53 &gt;=Benchmark!AB$4,1,BC53&lt;Benchmark!AB$4,0)</f>
        <v>1</v>
      </c>
      <c r="BE53" s="24">
        <f>IFERROR(VLOOKUP(B53,'Previous Dashboard'!B:CR,54,FALSE),0)</f>
        <v>0.7592592592592593</v>
      </c>
      <c r="BF53" s="43">
        <f>IFERROR(VLOOKUP(VLOOKUP($B53,'Pulse Mapping'!$A:$C,3,FALSE),'Pulse Survey'!$A:$J,'Pulse Survey'!I$1,FALSE),0)</f>
        <v>0.91304347826086951</v>
      </c>
      <c r="BG53" s="63" cm="1">
        <f t="array" ref="BG53">_xlfn.IFS(BF53 = "-",0,BF53 &gt;=Benchmark!AD$4,1,BF53&lt;Benchmark!AD$4,0)</f>
        <v>1</v>
      </c>
      <c r="BH53" s="91">
        <f>IFERROR(VLOOKUP(B53,'Previous Dashboard'!B:CR,57,FALSE),0)</f>
        <v>0.85185185185185186</v>
      </c>
      <c r="BI53" s="44">
        <f>IFERROR(VLOOKUP(VLOOKUP($B53,'Pulse Mapping'!$A:$C,3,FALSE),'Pulse Survey'!$A:$J,'Pulse Survey'!J$1,FALSE),0)</f>
        <v>0.65217391304347827</v>
      </c>
      <c r="BJ53" s="63" cm="1">
        <f t="array" ref="BJ53">_xlfn.IFS(BI53 = "-",0,BI53 &gt;=Benchmark!AF$4,1,BI53&lt;Benchmark!AF$4,0)</f>
        <v>0</v>
      </c>
      <c r="BK53" s="145">
        <f>IFERROR(VLOOKUP(B53,'Previous Dashboard'!B:CR,60,FALSE),0)</f>
        <v>0.85185185185185186</v>
      </c>
      <c r="BL53" s="224">
        <f t="shared" si="21"/>
        <v>7</v>
      </c>
      <c r="BM53" s="325">
        <f>IFERROR(VLOOKUP(B53,'Previous Dashboard'!B:CR,63,FALSE),0)</f>
        <v>8</v>
      </c>
      <c r="BN53" s="285">
        <f t="shared" si="11"/>
        <v>9</v>
      </c>
      <c r="BO53" s="190">
        <f>IFERROR(VLOOKUP(B53,'Previous Dashboard'!B:CR,65,FALSE),0)</f>
        <v>10</v>
      </c>
      <c r="BP53" s="25">
        <f>IFERROR(VLOOKUP(B53,'Previous Dashboard'!B:CR,66,FALSE),0)</f>
        <v>10</v>
      </c>
      <c r="BQ53" s="288">
        <f>IFERROR(VLOOKUP(B53,'Previous Dashboard'!B:CR,67,FALSE),0)</f>
        <v>10</v>
      </c>
      <c r="BR53" s="99"/>
      <c r="BS53" s="403">
        <f>IFERROR(VLOOKUP(B53,'Staff Survey'!B:L,3,FALSE),"-")</f>
        <v>8</v>
      </c>
      <c r="BT53" s="401" t="s">
        <v>389</v>
      </c>
      <c r="BU53" s="136">
        <f>IFERROR(VLOOKUP(B53,'Staff Survey'!B:L,4,FALSE),"-")</f>
        <v>6.8</v>
      </c>
      <c r="BV53" s="399" t="s">
        <v>389</v>
      </c>
      <c r="BW53" s="403">
        <f>IFERROR(VLOOKUP(B53,'Staff Survey'!B:L,5,FALSE),"-")</f>
        <v>7.3</v>
      </c>
      <c r="BX53" s="402" t="s">
        <v>389</v>
      </c>
      <c r="BY53" s="403">
        <f>IFERROR(VLOOKUP(B53,'Staff Survey'!B:L,6,FALSE),"-")</f>
        <v>6.8</v>
      </c>
      <c r="BZ53" s="402" t="s">
        <v>389</v>
      </c>
      <c r="CA53" s="403">
        <f>IFERROR(VLOOKUP(B53,'Staff Survey'!B:L,7,FALSE),"-")</f>
        <v>5.9</v>
      </c>
      <c r="CB53" s="428" t="s">
        <v>389</v>
      </c>
      <c r="CC53" s="403">
        <f>IFERROR(VLOOKUP(B53,'Staff Survey'!B:L,8,FALSE),"-")</f>
        <v>7.4</v>
      </c>
      <c r="CD53" s="428" t="s">
        <v>389</v>
      </c>
      <c r="CE53" s="403">
        <f>IFERROR(VLOOKUP(B53,'Staff Survey'!B:L,9,FALSE),"-")</f>
        <v>7.6</v>
      </c>
      <c r="CF53" s="428" t="s">
        <v>389</v>
      </c>
      <c r="CG53" s="140">
        <f>IFERROR(VLOOKUP(B53,'Staff Survey'!B:L,10,FALSE),"-")</f>
        <v>7.3</v>
      </c>
      <c r="CH53" s="277">
        <v>7.5</v>
      </c>
      <c r="CI53" s="412">
        <f>IFERROR(VLOOKUP(B53,'Staff Survey'!B:L,11,FALSE),"-")</f>
        <v>6.4</v>
      </c>
      <c r="CJ53" s="111">
        <v>7</v>
      </c>
      <c r="CL53" s="119">
        <f>IFERROR(VLOOKUP(B53,'LfE . HR Ops . F2SU'!A:B,2,FALSE),0)</f>
        <v>19</v>
      </c>
      <c r="CM53" s="119">
        <f>IFERROR(VLOOKUP(B53,'Previous Dashboard'!B:CR,89,FALSE),0)</f>
        <v>13</v>
      </c>
      <c r="CN53" s="124"/>
      <c r="CO53" s="125"/>
      <c r="CP53" s="126"/>
      <c r="CQ53" s="126"/>
    </row>
    <row r="54" spans="1:95" x14ac:dyDescent="0.25">
      <c r="A54" s="651"/>
      <c r="B54" s="543" t="s">
        <v>18</v>
      </c>
      <c r="C54" s="310">
        <f>IFERROR(VLOOKUP(B54,'Staff In Post'!A:C,3,FALSE),0)</f>
        <v>225</v>
      </c>
      <c r="D54" s="246">
        <f>IFERROR(VLOOKUP(B54,'Mandatory Training'!A:C,3,FALSE),0)</f>
        <v>0.88888888888888884</v>
      </c>
      <c r="E54" s="24">
        <f>IFERROR(VLOOKUP(B54,'Previous Dashboard'!B:CR,3,FALSE),0)</f>
        <v>0.7990654205607477</v>
      </c>
      <c r="F54" s="63">
        <f>IF(D54&gt;=Benchmark!C$4,1,0)</f>
        <v>0</v>
      </c>
      <c r="G54" s="17">
        <f>IFERROR(VLOOKUP(B54,Appraisals!A:C,3,FALSE),0)</f>
        <v>0.84042553191489366</v>
      </c>
      <c r="H54" s="24">
        <f>IFERROR(VLOOKUP(B54,'Previous Dashboard'!B:CR,6,FALSE),0)</f>
        <v>0.68852459016393441</v>
      </c>
      <c r="I54" s="63">
        <f>IF(G54&gt;=Benchmark!E$4,1,0)</f>
        <v>0</v>
      </c>
      <c r="J54" s="59">
        <f t="shared" si="17"/>
        <v>0.86465721040189125</v>
      </c>
      <c r="K54" s="91">
        <f t="shared" si="18"/>
        <v>0.743795005362341</v>
      </c>
      <c r="L54" s="63">
        <f>IF(J54&gt;=Benchmark!G$4,1,0)</f>
        <v>0</v>
      </c>
      <c r="M54" s="51">
        <f>IFERROR(VLOOKUP(B54,Stress!A:D,4,FALSE),"-")</f>
        <v>1.5138097341174E-2</v>
      </c>
      <c r="N54" s="60">
        <f>IFERROR(VLOOKUP(B54,'Previous Dashboard'!B:CR,12,FALSE),0)</f>
        <v>2.0177487360574099E-2</v>
      </c>
      <c r="O54" s="52">
        <f>IFERROR(VLOOKUP(B54,'Musculo Skeletal'!A:D,4,FALSE),"-")</f>
        <v>9.6925916633136999E-4</v>
      </c>
      <c r="P54" s="43">
        <f>IFERROR(VLOOKUP(B54,'Previous Dashboard'!B:CR,14,FALSE),0)</f>
        <v>2.8432980207487098E-3</v>
      </c>
      <c r="Q54" s="52">
        <f>IFERROR(VLOOKUP(B54,'All Sickness'!A:D,4,FALSE),"-")</f>
        <v>4.41976255750164E-2</v>
      </c>
      <c r="R54" s="43">
        <f>IFERROR(VLOOKUP(B54,'Previous Dashboard'!B:CR,16,FALSE),0)</f>
        <v>5.6617118039540303E-2</v>
      </c>
      <c r="S54" s="63">
        <f>IF(Q54&lt;=Benchmark!K$4,1,0)</f>
        <v>0</v>
      </c>
      <c r="T54" s="44">
        <f>IFERROR(VLOOKUP(B54,LT.ST!A:C,3,FALSE),"-")</f>
        <v>2.3490340105609801E-2</v>
      </c>
      <c r="U54" s="43">
        <f>IFERROR(VLOOKUP(B54,'Previous Dashboard'!B:CR,19,FALSE),0)</f>
        <v>3.0554353101256503E-2</v>
      </c>
      <c r="V54" s="42">
        <f>IFERROR(VLOOKUP(B54,Turnover!A:C,2,FALSE),0)</f>
        <v>9.3676814988290398E-3</v>
      </c>
      <c r="W54" s="60">
        <f>IFERROR(VLOOKUP(B54,'Previous Dashboard'!B:CR,21,FALSE),0)</f>
        <v>2.3980815347721798E-2</v>
      </c>
      <c r="X54" s="63">
        <f>IF(V54&lt;=Benchmark!N$4,1,0)</f>
        <v>1</v>
      </c>
      <c r="Y54" s="159">
        <f>IFERROR(VLOOKUP(B54,Leavers!A:I,6,FALSE),0)</f>
        <v>2</v>
      </c>
      <c r="Z54" s="247">
        <f t="shared" si="19"/>
        <v>1</v>
      </c>
      <c r="AA54" s="298">
        <f>IFERROR(VLOOKUP(B54,'Previous Dashboard'!B:CR,25,FALSE),0)</f>
        <v>1</v>
      </c>
      <c r="AB54" s="188">
        <f>IFERROR(VLOOKUP(VLOOKUP($B54,'Pulse Mapping'!$A:$C,3,FALSE),'Pulse Survey'!$A:$J,2,FALSE),0)</f>
        <v>61</v>
      </c>
      <c r="AC54" s="25">
        <f>IFERROR(VLOOKUP(B54,'Previous Dashboard'!B:CR,27,FALSE),0)</f>
        <v>59</v>
      </c>
      <c r="AD54" s="362">
        <f t="shared" si="20"/>
        <v>0.27111111111111114</v>
      </c>
      <c r="AE54" s="408">
        <f>IFERROR(VLOOKUP(B54,'Staff Engagement'!A:E,5,FALSE),0)</f>
        <v>7.3451730418943528</v>
      </c>
      <c r="AF54" s="409">
        <f>IFERROR(VLOOKUP(B54,'Previous Dashboard'!B:CQ,30,FALSE),0)</f>
        <v>7.5423728813559325</v>
      </c>
      <c r="AG54" s="112">
        <f>IFERROR(VLOOKUP(B54,'Staff Engagement'!A:E,2,FALSE),0)</f>
        <v>7.5683060109289615</v>
      </c>
      <c r="AH54" s="409">
        <f>IFERROR(VLOOKUP(B54,'Previous Dashboard'!B:CQ,32,FALSE),0)</f>
        <v>7.6553672316384178</v>
      </c>
      <c r="AI54" s="112">
        <f>IFERROR(VLOOKUP(B54,'Staff Engagement'!A:E,3,FALSE),0)</f>
        <v>7.1584699453551917</v>
      </c>
      <c r="AJ54" s="409">
        <f>IFERROR(VLOOKUP(B54,'Previous Dashboard'!B:CQ,34,FALSE),0)</f>
        <v>7.7118644067796609</v>
      </c>
      <c r="AK54" s="112">
        <f>IFERROR(VLOOKUP(B54,'Staff Engagement'!A:E,4,FALSE),0)</f>
        <v>7.3087431693989071</v>
      </c>
      <c r="AL54" s="271">
        <f>IFERROR(VLOOKUP(B54,'Previous Dashboard'!B:CQ,36,FALSE),0)</f>
        <v>7.2598870056497171</v>
      </c>
      <c r="AM54" s="388"/>
      <c r="AN54" s="60">
        <f>IFERROR(VLOOKUP(VLOOKUP($B54,'Pulse Mapping'!$A:$C,3,FALSE),'Pulse Survey'!$A:$J,'Pulse Survey'!C$1,FALSE),0)</f>
        <v>0.78688524590163933</v>
      </c>
      <c r="AO54" s="63" cm="1">
        <f t="array" ref="AO54">_xlfn.IFS(AN54 = "-",0,AN54 &gt;=Benchmark!R$4,1,AN54&lt;Benchmark!R$4,0)</f>
        <v>1</v>
      </c>
      <c r="AP54" s="43">
        <f>IFERROR(VLOOKUP(B54,'Previous Dashboard'!B:CR,39,FALSE),0)</f>
        <v>0.77966101694915257</v>
      </c>
      <c r="AQ54" s="43">
        <f>IFERROR(VLOOKUP(VLOOKUP($B54,'Pulse Mapping'!$A:$C,3,FALSE),'Pulse Survey'!$A:$J,'Pulse Survey'!D$1,FALSE),0)</f>
        <v>0.68852459016393441</v>
      </c>
      <c r="AR54" s="63" cm="1">
        <f t="array" ref="AR54">_xlfn.IFS(AQ54 = "-",0,AQ54 &gt;=Benchmark!T$4,1,AQ54&lt;Benchmark!T$4,0)</f>
        <v>1</v>
      </c>
      <c r="AS54" s="24">
        <f>IFERROR(VLOOKUP(B54,'Previous Dashboard'!B:CR,42,FALSE),0)</f>
        <v>0.77966101694915257</v>
      </c>
      <c r="AT54" s="43">
        <f>IFERROR(VLOOKUP(VLOOKUP($B54,'Pulse Mapping'!$A:$C,3,FALSE),'Pulse Survey'!$A:$J,'Pulse Survey'!E$1,FALSE),0)</f>
        <v>0.73770491803278693</v>
      </c>
      <c r="AU54" s="63" cm="1">
        <f t="array" ref="AU54">_xlfn.IFS(AT54 = "-",0,AT54 &gt;=Benchmark!V$4,1,AT54&lt;Benchmark!V$4,0)</f>
        <v>1</v>
      </c>
      <c r="AV54" s="24">
        <f>IFERROR(VLOOKUP(B54,'Previous Dashboard'!B:CR,45,FALSE),0)</f>
        <v>0.67796610169491522</v>
      </c>
      <c r="AW54" s="43">
        <f>IFERROR(VLOOKUP(VLOOKUP($B54,'Pulse Mapping'!$A:$C,3,FALSE),'Pulse Survey'!$A:$J,'Pulse Survey'!F$1,FALSE),0)</f>
        <v>0.77049180327868849</v>
      </c>
      <c r="AX54" s="63" cm="1">
        <f t="array" ref="AX54">_xlfn.IFS(AW54 = "-",0,AW54 &gt;=Benchmark!X$4,1,AW54&lt;Benchmark!X$4,0)</f>
        <v>1</v>
      </c>
      <c r="AY54" s="24">
        <f>IFERROR(VLOOKUP(B54,'Previous Dashboard'!B:CR,48,FALSE),0)</f>
        <v>0.83050847457627119</v>
      </c>
      <c r="AZ54" s="43">
        <f>IFERROR(VLOOKUP(VLOOKUP($B54,'Pulse Mapping'!$A:$C,3,FALSE),'Pulse Survey'!$A:$J,'Pulse Survey'!G$1,FALSE),0)</f>
        <v>0.81967213114754101</v>
      </c>
      <c r="BA54" s="63" cm="1">
        <f t="array" ref="BA54">_xlfn.IFS(AZ54 = "-",0,AZ54 &gt;=Benchmark!Z$4,1,AZ54&lt;Benchmark!Z$4,0)</f>
        <v>1</v>
      </c>
      <c r="BB54" s="24">
        <f>IFERROR(VLOOKUP(B54,'Previous Dashboard'!B:CR,51,FALSE),0)</f>
        <v>0.84745762711864414</v>
      </c>
      <c r="BC54" s="43">
        <f>IFERROR(VLOOKUP(VLOOKUP($B54,'Pulse Mapping'!$A:$C,3,FALSE),'Pulse Survey'!$A:$J,'Pulse Survey'!H$1,FALSE),0)</f>
        <v>0.73770491803278682</v>
      </c>
      <c r="BD54" s="63" cm="1">
        <f t="array" ref="BD54">_xlfn.IFS(BC54 = "-",0,BC54 &gt;=Benchmark!AB$4,1,BC54&lt;Benchmark!AB$4,0)</f>
        <v>1</v>
      </c>
      <c r="BE54" s="24">
        <f>IFERROR(VLOOKUP(B54,'Previous Dashboard'!B:CR,54,FALSE),0)</f>
        <v>0.83050847457627119</v>
      </c>
      <c r="BF54" s="43">
        <f>IFERROR(VLOOKUP(VLOOKUP($B54,'Pulse Mapping'!$A:$C,3,FALSE),'Pulse Survey'!$A:$J,'Pulse Survey'!I$1,FALSE),0)</f>
        <v>0.75409836065573765</v>
      </c>
      <c r="BG54" s="63" cm="1">
        <f t="array" ref="BG54">_xlfn.IFS(BF54 = "-",0,BF54 &gt;=Benchmark!AD$4,1,BF54&lt;Benchmark!AD$4,0)</f>
        <v>1</v>
      </c>
      <c r="BH54" s="91">
        <f>IFERROR(VLOOKUP(B54,'Previous Dashboard'!B:CR,57,FALSE),0)</f>
        <v>0.84745762711864403</v>
      </c>
      <c r="BI54" s="44">
        <f>IFERROR(VLOOKUP(VLOOKUP($B54,'Pulse Mapping'!$A:$C,3,FALSE),'Pulse Survey'!$A:$J,'Pulse Survey'!J$1,FALSE),0)</f>
        <v>0.68852459016393441</v>
      </c>
      <c r="BJ54" s="63" cm="1">
        <f t="array" ref="BJ54">_xlfn.IFS(BI54 = "-",0,BI54 &gt;=Benchmark!AF$4,1,BI54&lt;Benchmark!AF$4,0)</f>
        <v>1</v>
      </c>
      <c r="BK54" s="145">
        <f>IFERROR(VLOOKUP(B54,'Previous Dashboard'!B:CR,60,FALSE),0)</f>
        <v>0.79661016949152541</v>
      </c>
      <c r="BL54" s="224">
        <f t="shared" si="21"/>
        <v>8</v>
      </c>
      <c r="BM54" s="325">
        <f>IFERROR(VLOOKUP(B54,'Previous Dashboard'!B:CR,63,FALSE),0)</f>
        <v>8</v>
      </c>
      <c r="BN54" s="285">
        <f t="shared" si="11"/>
        <v>9</v>
      </c>
      <c r="BO54" s="190">
        <f>IFERROR(VLOOKUP(B54,'Previous Dashboard'!B:CR,65,FALSE),0)</f>
        <v>9</v>
      </c>
      <c r="BP54" s="25">
        <f>IFERROR(VLOOKUP(B54,'Previous Dashboard'!B:CR,66,FALSE),0)</f>
        <v>9</v>
      </c>
      <c r="BQ54" s="288">
        <f>IFERROR(VLOOKUP(B54,'Previous Dashboard'!B:CR,67,FALSE),0)</f>
        <v>11</v>
      </c>
      <c r="BR54" s="99"/>
      <c r="BS54" s="403">
        <f>IFERROR(VLOOKUP(B54,'Staff Survey'!B:L,3,FALSE),"-")</f>
        <v>7.8</v>
      </c>
      <c r="BT54" s="401" t="s">
        <v>389</v>
      </c>
      <c r="BU54" s="136">
        <f>IFERROR(VLOOKUP(B54,'Staff Survey'!B:L,4,FALSE),"-")</f>
        <v>6.6</v>
      </c>
      <c r="BV54" s="399" t="s">
        <v>389</v>
      </c>
      <c r="BW54" s="403">
        <f>IFERROR(VLOOKUP(B54,'Staff Survey'!B:L,5,FALSE),"-")</f>
        <v>7.1</v>
      </c>
      <c r="BX54" s="402" t="s">
        <v>389</v>
      </c>
      <c r="BY54" s="403">
        <f>IFERROR(VLOOKUP(B54,'Staff Survey'!B:L,6,FALSE),"-")</f>
        <v>6.8</v>
      </c>
      <c r="BZ54" s="402" t="s">
        <v>389</v>
      </c>
      <c r="CA54" s="403">
        <f>IFERROR(VLOOKUP(B54,'Staff Survey'!B:L,7,FALSE),"-")</f>
        <v>6</v>
      </c>
      <c r="CB54" s="428" t="s">
        <v>389</v>
      </c>
      <c r="CC54" s="403">
        <f>IFERROR(VLOOKUP(B54,'Staff Survey'!B:L,8,FALSE),"-")</f>
        <v>6.8</v>
      </c>
      <c r="CD54" s="428" t="s">
        <v>389</v>
      </c>
      <c r="CE54" s="403">
        <f>IFERROR(VLOOKUP(B54,'Staff Survey'!B:L,9,FALSE),"-")</f>
        <v>7.4</v>
      </c>
      <c r="CF54" s="428" t="s">
        <v>389</v>
      </c>
      <c r="CG54" s="140">
        <f>IFERROR(VLOOKUP(B54,'Staff Survey'!B:L,10,FALSE),"-")</f>
        <v>7.3</v>
      </c>
      <c r="CH54" s="277">
        <v>6.9</v>
      </c>
      <c r="CI54" s="412">
        <f>IFERROR(VLOOKUP(B54,'Staff Survey'!B:L,11,FALSE),"-")</f>
        <v>6.5</v>
      </c>
      <c r="CJ54" s="111">
        <v>6.5</v>
      </c>
      <c r="CL54" s="119">
        <f>IFERROR(VLOOKUP(B54,'LfE . HR Ops . F2SU'!A:B,2,FALSE),0)</f>
        <v>54</v>
      </c>
      <c r="CM54" s="119">
        <f>IFERROR(VLOOKUP(B54,'Previous Dashboard'!B:CR,89,FALSE),0)</f>
        <v>41</v>
      </c>
      <c r="CN54" s="124"/>
      <c r="CO54" s="125"/>
      <c r="CP54" s="126"/>
      <c r="CQ54" s="126"/>
    </row>
    <row r="55" spans="1:95" x14ac:dyDescent="0.25">
      <c r="A55" s="651"/>
      <c r="B55" s="543" t="s">
        <v>19</v>
      </c>
      <c r="C55" s="310">
        <f>IFERROR(VLOOKUP(B55,'Staff In Post'!A:C,3,FALSE),0)</f>
        <v>149</v>
      </c>
      <c r="D55" s="246">
        <f>IFERROR(VLOOKUP(B55,'Mandatory Training'!A:C,3,FALSE),0)</f>
        <v>0.54421768707482998</v>
      </c>
      <c r="E55" s="24">
        <f>IFERROR(VLOOKUP(B55,'Previous Dashboard'!B:CR,3,FALSE),0)</f>
        <v>0.53205128205128205</v>
      </c>
      <c r="F55" s="63">
        <f>IF(D55&gt;=Benchmark!C$4,1,0)</f>
        <v>0</v>
      </c>
      <c r="G55" s="17">
        <f>IFERROR(VLOOKUP(B55,Appraisals!A:C,3,FALSE),0)</f>
        <v>0.62295081967213117</v>
      </c>
      <c r="H55" s="24">
        <f>IFERROR(VLOOKUP(B55,'Previous Dashboard'!B:CR,6,FALSE),0)</f>
        <v>0.63200000000000001</v>
      </c>
      <c r="I55" s="63">
        <f>IF(G55&gt;=Benchmark!E$4,1,0)</f>
        <v>0</v>
      </c>
      <c r="J55" s="59">
        <f t="shared" si="17"/>
        <v>0.58358425337348052</v>
      </c>
      <c r="K55" s="91">
        <f t="shared" si="18"/>
        <v>0.58202564102564103</v>
      </c>
      <c r="L55" s="63">
        <f>IF(J55&gt;=Benchmark!G$4,1,0)</f>
        <v>0</v>
      </c>
      <c r="M55" s="51">
        <f>IFERROR(VLOOKUP(B55,Stress!A:D,4,FALSE),"-")</f>
        <v>1.32423096578498E-2</v>
      </c>
      <c r="N55" s="60">
        <f>IFERROR(VLOOKUP(B55,'Previous Dashboard'!B:CR,12,FALSE),0)</f>
        <v>1.2800957515301499E-2</v>
      </c>
      <c r="O55" s="52">
        <f>IFERROR(VLOOKUP(B55,'Musculo Skeletal'!A:D,4,FALSE),"-")</f>
        <v>8.0043630597517006E-3</v>
      </c>
      <c r="P55" s="43">
        <f>IFERROR(VLOOKUP(B55,'Previous Dashboard'!B:CR,14,FALSE),0)</f>
        <v>2.84227248303819E-3</v>
      </c>
      <c r="Q55" s="52">
        <f>IFERROR(VLOOKUP(B55,'All Sickness'!A:D,4,FALSE),"-")</f>
        <v>4.7418406122393203E-2</v>
      </c>
      <c r="R55" s="43">
        <f>IFERROR(VLOOKUP(B55,'Previous Dashboard'!B:CR,16,FALSE),0)</f>
        <v>4.2439899019639002E-2</v>
      </c>
      <c r="S55" s="63">
        <f>IF(Q55&lt;=Benchmark!K$4,1,0)</f>
        <v>0</v>
      </c>
      <c r="T55" s="44">
        <f>IFERROR(VLOOKUP(B55,LT.ST!A:C,3,FALSE),"-")</f>
        <v>2.2542459581496099E-2</v>
      </c>
      <c r="U55" s="43">
        <f>IFERROR(VLOOKUP(B55,'Previous Dashboard'!B:CR,19,FALSE),0)</f>
        <v>1.94451910328244E-2</v>
      </c>
      <c r="V55" s="42">
        <f>IFERROR(VLOOKUP(B55,Turnover!A:C,2,FALSE),0)</f>
        <v>3.5087719298245598E-2</v>
      </c>
      <c r="W55" s="60">
        <f>IFERROR(VLOOKUP(B55,'Previous Dashboard'!B:CR,21,FALSE),0)</f>
        <v>2.0270270270270299E-2</v>
      </c>
      <c r="X55" s="63">
        <f>IF(V55&lt;=Benchmark!N$4,1,0)</f>
        <v>1</v>
      </c>
      <c r="Y55" s="159">
        <f>IFERROR(VLOOKUP(B55,Leavers!A:I,6,FALSE),0)</f>
        <v>5</v>
      </c>
      <c r="Z55" s="247">
        <f t="shared" si="19"/>
        <v>1</v>
      </c>
      <c r="AA55" s="298">
        <f>IFERROR(VLOOKUP(B55,'Previous Dashboard'!B:CR,25,FALSE),0)</f>
        <v>1</v>
      </c>
      <c r="AB55" s="188">
        <f>IFERROR(VLOOKUP(VLOOKUP($B55,'Pulse Mapping'!$A:$C,3,FALSE),'Pulse Survey'!$A:$J,2,FALSE),0)</f>
        <v>14</v>
      </c>
      <c r="AC55" s="25">
        <f>IFERROR(VLOOKUP(B55,'Previous Dashboard'!B:CR,27,FALSE),0)</f>
        <v>11</v>
      </c>
      <c r="AD55" s="362">
        <f t="shared" si="20"/>
        <v>9.3959731543624164E-2</v>
      </c>
      <c r="AE55" s="408">
        <f>IFERROR(VLOOKUP(B55,'Staff Engagement'!A:E,5,FALSE),0)</f>
        <v>6.9642857142857144</v>
      </c>
      <c r="AF55" s="409">
        <f>IFERROR(VLOOKUP(B55,'Previous Dashboard'!B:CQ,30,FALSE),0)</f>
        <v>7.2222222222222214</v>
      </c>
      <c r="AG55" s="112">
        <f>IFERROR(VLOOKUP(B55,'Staff Engagement'!A:E,2,FALSE),0)</f>
        <v>7.3214285714285712</v>
      </c>
      <c r="AH55" s="409">
        <f>IFERROR(VLOOKUP(B55,'Previous Dashboard'!B:CQ,32,FALSE),0)</f>
        <v>6.8181818181818183</v>
      </c>
      <c r="AI55" s="112">
        <f>IFERROR(VLOOKUP(B55,'Staff Engagement'!A:E,3,FALSE),0)</f>
        <v>6.4285714285714288</v>
      </c>
      <c r="AJ55" s="409">
        <f>IFERROR(VLOOKUP(B55,'Previous Dashboard'!B:CQ,34,FALSE),0)</f>
        <v>6.8939393939393936</v>
      </c>
      <c r="AK55" s="112">
        <f>IFERROR(VLOOKUP(B55,'Staff Engagement'!A:E,4,FALSE),0)</f>
        <v>7.1428571428571432</v>
      </c>
      <c r="AL55" s="271">
        <f>IFERROR(VLOOKUP(B55,'Previous Dashboard'!B:CQ,36,FALSE),0)</f>
        <v>7.9545454545454541</v>
      </c>
      <c r="AM55" s="388"/>
      <c r="AN55" s="60">
        <f>IFERROR(VLOOKUP(VLOOKUP($B55,'Pulse Mapping'!$A:$C,3,FALSE),'Pulse Survey'!$A:$J,'Pulse Survey'!C$1,FALSE),0)</f>
        <v>0.42857142857142855</v>
      </c>
      <c r="AO55" s="63" cm="1">
        <f t="array" ref="AO55">_xlfn.IFS(AN55 = "-",0,AN55 &gt;=Benchmark!R$4,1,AN55&lt;Benchmark!R$4,0)</f>
        <v>0</v>
      </c>
      <c r="AP55" s="43">
        <f>IFERROR(VLOOKUP(B55,'Previous Dashboard'!B:CR,39,FALSE),0)</f>
        <v>0.54545454545454541</v>
      </c>
      <c r="AQ55" s="43">
        <f>IFERROR(VLOOKUP(VLOOKUP($B55,'Pulse Mapping'!$A:$C,3,FALSE),'Pulse Survey'!$A:$J,'Pulse Survey'!D$1,FALSE),0)</f>
        <v>0.7857142857142857</v>
      </c>
      <c r="AR55" s="63" cm="1">
        <f t="array" ref="AR55">_xlfn.IFS(AQ55 = "-",0,AQ55 &gt;=Benchmark!T$4,1,AQ55&lt;Benchmark!T$4,0)</f>
        <v>1</v>
      </c>
      <c r="AS55" s="24">
        <f>IFERROR(VLOOKUP(B55,'Previous Dashboard'!B:CR,42,FALSE),0)</f>
        <v>0.72727272727272729</v>
      </c>
      <c r="AT55" s="43">
        <f>IFERROR(VLOOKUP(VLOOKUP($B55,'Pulse Mapping'!$A:$C,3,FALSE),'Pulse Survey'!$A:$J,'Pulse Survey'!E$1,FALSE),0)</f>
        <v>0.5</v>
      </c>
      <c r="AU55" s="63" cm="1">
        <f t="array" ref="AU55">_xlfn.IFS(AT55 = "-",0,AT55 &gt;=Benchmark!V$4,1,AT55&lt;Benchmark!V$4,0)</f>
        <v>0</v>
      </c>
      <c r="AV55" s="24">
        <f>IFERROR(VLOOKUP(B55,'Previous Dashboard'!B:CR,45,FALSE),0)</f>
        <v>0.63636363636363635</v>
      </c>
      <c r="AW55" s="43">
        <f>IFERROR(VLOOKUP(VLOOKUP($B55,'Pulse Mapping'!$A:$C,3,FALSE),'Pulse Survey'!$A:$J,'Pulse Survey'!F$1,FALSE),0)</f>
        <v>0.5</v>
      </c>
      <c r="AX55" s="63" cm="1">
        <f t="array" ref="AX55">_xlfn.IFS(AW55 = "-",0,AW55 &gt;=Benchmark!X$4,1,AW55&lt;Benchmark!X$4,0)</f>
        <v>0</v>
      </c>
      <c r="AY55" s="24">
        <f>IFERROR(VLOOKUP(B55,'Previous Dashboard'!B:CR,48,FALSE),0)</f>
        <v>0.72727272727272729</v>
      </c>
      <c r="AZ55" s="43">
        <f>IFERROR(VLOOKUP(VLOOKUP($B55,'Pulse Mapping'!$A:$C,3,FALSE),'Pulse Survey'!$A:$J,'Pulse Survey'!G$1,FALSE),0)</f>
        <v>0.7857142857142857</v>
      </c>
      <c r="BA55" s="63" cm="1">
        <f t="array" ref="BA55">_xlfn.IFS(AZ55 = "-",0,AZ55 &gt;=Benchmark!Z$4,1,AZ55&lt;Benchmark!Z$4,0)</f>
        <v>1</v>
      </c>
      <c r="BB55" s="24">
        <f>IFERROR(VLOOKUP(B55,'Previous Dashboard'!B:CR,51,FALSE),0)</f>
        <v>0.54545454545454541</v>
      </c>
      <c r="BC55" s="43">
        <f>IFERROR(VLOOKUP(VLOOKUP($B55,'Pulse Mapping'!$A:$C,3,FALSE),'Pulse Survey'!$A:$J,'Pulse Survey'!H$1,FALSE),0)</f>
        <v>0.4285714285714286</v>
      </c>
      <c r="BD55" s="63" cm="1">
        <f t="array" ref="BD55">_xlfn.IFS(BC55 = "-",0,BC55 &gt;=Benchmark!AB$4,1,BC55&lt;Benchmark!AB$4,0)</f>
        <v>0</v>
      </c>
      <c r="BE55" s="24">
        <f>IFERROR(VLOOKUP(B55,'Previous Dashboard'!B:CR,54,FALSE),0)</f>
        <v>0.63636363636363635</v>
      </c>
      <c r="BF55" s="43">
        <f>IFERROR(VLOOKUP(VLOOKUP($B55,'Pulse Mapping'!$A:$C,3,FALSE),'Pulse Survey'!$A:$J,'Pulse Survey'!I$1,FALSE),0)</f>
        <v>0.71428571428571419</v>
      </c>
      <c r="BG55" s="63" cm="1">
        <f t="array" ref="BG55">_xlfn.IFS(BF55 = "-",0,BF55 &gt;=Benchmark!AD$4,1,BF55&lt;Benchmark!AD$4,0)</f>
        <v>1</v>
      </c>
      <c r="BH55" s="91">
        <f>IFERROR(VLOOKUP(B55,'Previous Dashboard'!B:CR,57,FALSE),0)</f>
        <v>0.72727272727272729</v>
      </c>
      <c r="BI55" s="44">
        <f>IFERROR(VLOOKUP(VLOOKUP($B55,'Pulse Mapping'!$A:$C,3,FALSE),'Pulse Survey'!$A:$J,'Pulse Survey'!J$1,FALSE),0)</f>
        <v>0.5714285714285714</v>
      </c>
      <c r="BJ55" s="63" cm="1">
        <f t="array" ref="BJ55">_xlfn.IFS(BI55 = "-",0,BI55 &gt;=Benchmark!AF$4,1,BI55&lt;Benchmark!AF$4,0)</f>
        <v>0</v>
      </c>
      <c r="BK55" s="145">
        <f>IFERROR(VLOOKUP(B55,'Previous Dashboard'!B:CR,60,FALSE),0)</f>
        <v>0.54545454545454541</v>
      </c>
      <c r="BL55" s="224">
        <f t="shared" si="21"/>
        <v>3</v>
      </c>
      <c r="BM55" s="325">
        <f>IFERROR(VLOOKUP(B55,'Previous Dashboard'!B:CR,63,FALSE),0)</f>
        <v>3</v>
      </c>
      <c r="BN55" s="285">
        <f t="shared" si="11"/>
        <v>4</v>
      </c>
      <c r="BO55" s="190">
        <f>IFERROR(VLOOKUP(B55,'Previous Dashboard'!B:CR,65,FALSE),0)</f>
        <v>4</v>
      </c>
      <c r="BP55" s="25">
        <f>IFERROR(VLOOKUP(B55,'Previous Dashboard'!B:CR,66,FALSE),0)</f>
        <v>1</v>
      </c>
      <c r="BQ55" s="288">
        <f>IFERROR(VLOOKUP(B55,'Previous Dashboard'!B:CR,67,FALSE),0)</f>
        <v>1</v>
      </c>
      <c r="BR55" s="99"/>
      <c r="BS55" s="403">
        <f>IFERROR(VLOOKUP(B55,'Staff Survey'!B:L,3,FALSE),"-")</f>
        <v>7.3</v>
      </c>
      <c r="BT55" s="401" t="s">
        <v>389</v>
      </c>
      <c r="BU55" s="136">
        <f>IFERROR(VLOOKUP(B55,'Staff Survey'!B:L,4,FALSE),"-")</f>
        <v>6.3</v>
      </c>
      <c r="BV55" s="399" t="s">
        <v>389</v>
      </c>
      <c r="BW55" s="403">
        <f>IFERROR(VLOOKUP(B55,'Staff Survey'!B:L,5,FALSE),"-")</f>
        <v>6.8</v>
      </c>
      <c r="BX55" s="402" t="s">
        <v>389</v>
      </c>
      <c r="BY55" s="403">
        <f>IFERROR(VLOOKUP(B55,'Staff Survey'!B:L,6,FALSE),"-")</f>
        <v>6.1</v>
      </c>
      <c r="BZ55" s="402" t="s">
        <v>389</v>
      </c>
      <c r="CA55" s="403">
        <f>IFERROR(VLOOKUP(B55,'Staff Survey'!B:L,7,FALSE),"-")</f>
        <v>5.4</v>
      </c>
      <c r="CB55" s="428" t="s">
        <v>389</v>
      </c>
      <c r="CC55" s="403">
        <f>IFERROR(VLOOKUP(B55,'Staff Survey'!B:L,8,FALSE),"-")</f>
        <v>6</v>
      </c>
      <c r="CD55" s="428" t="s">
        <v>389</v>
      </c>
      <c r="CE55" s="403">
        <f>IFERROR(VLOOKUP(B55,'Staff Survey'!B:L,9,FALSE),"-")</f>
        <v>7.1</v>
      </c>
      <c r="CF55" s="428" t="s">
        <v>389</v>
      </c>
      <c r="CG55" s="140">
        <f>IFERROR(VLOOKUP(B55,'Staff Survey'!B:L,10,FALSE),"-")</f>
        <v>6.9</v>
      </c>
      <c r="CH55" s="417" t="s">
        <v>389</v>
      </c>
      <c r="CI55" s="412">
        <f>IFERROR(VLOOKUP(B55,'Staff Survey'!B:L,11,FALSE),"-")</f>
        <v>5.9</v>
      </c>
      <c r="CJ55" s="419" t="s">
        <v>389</v>
      </c>
      <c r="CL55" s="119">
        <f>IFERROR(VLOOKUP(B55,'LfE . HR Ops . F2SU'!A:B,2,FALSE),0)</f>
        <v>18</v>
      </c>
      <c r="CM55" s="119">
        <f>IFERROR(VLOOKUP(B55,'Previous Dashboard'!B:CR,89,FALSE),0)</f>
        <v>11</v>
      </c>
      <c r="CN55" s="124"/>
      <c r="CO55" s="125"/>
      <c r="CP55" s="126"/>
      <c r="CQ55" s="126"/>
    </row>
    <row r="56" spans="1:95" x14ac:dyDescent="0.25">
      <c r="A56" s="651"/>
      <c r="B56" s="543" t="s">
        <v>20</v>
      </c>
      <c r="C56" s="310">
        <f>IFERROR(VLOOKUP(B56,'Staff In Post'!A:C,3,FALSE),0)</f>
        <v>300</v>
      </c>
      <c r="D56" s="246">
        <f>IFERROR(VLOOKUP(B56,'Mandatory Training'!A:C,3,FALSE),0)</f>
        <v>0.88363636363636366</v>
      </c>
      <c r="E56" s="24">
        <f>IFERROR(VLOOKUP(B56,'Previous Dashboard'!B:CR,3,FALSE),0)</f>
        <v>0.87404580152671751</v>
      </c>
      <c r="F56" s="63">
        <f>IF(D56&gt;=Benchmark!C$4,1,0)</f>
        <v>0</v>
      </c>
      <c r="G56" s="17">
        <f>IFERROR(VLOOKUP(B56,Appraisals!A:C,3,FALSE),0)</f>
        <v>0.87391304347826082</v>
      </c>
      <c r="H56" s="24">
        <f>IFERROR(VLOOKUP(B56,'Previous Dashboard'!B:CR,6,FALSE),0)</f>
        <v>0.88940092165898621</v>
      </c>
      <c r="I56" s="63">
        <f>IF(G56&gt;=Benchmark!E$4,1,0)</f>
        <v>0</v>
      </c>
      <c r="J56" s="59">
        <f t="shared" si="17"/>
        <v>0.87877470355731224</v>
      </c>
      <c r="K56" s="91">
        <f t="shared" si="18"/>
        <v>0.88172336159285192</v>
      </c>
      <c r="L56" s="63">
        <f>IF(J56&gt;=Benchmark!G$4,1,0)</f>
        <v>0</v>
      </c>
      <c r="M56" s="51">
        <f>IFERROR(VLOOKUP(B56,Stress!A:D,4,FALSE),"-")</f>
        <v>2.4660630077862601E-2</v>
      </c>
      <c r="N56" s="60">
        <f>IFERROR(VLOOKUP(B56,'Previous Dashboard'!B:CR,12,FALSE),0)</f>
        <v>2.6686029086206198E-2</v>
      </c>
      <c r="O56" s="52">
        <f>IFERROR(VLOOKUP(B56,'Musculo Skeletal'!A:D,4,FALSE),"-")</f>
        <v>5.9718768649484602E-3</v>
      </c>
      <c r="P56" s="43">
        <f>IFERROR(VLOOKUP(B56,'Previous Dashboard'!B:CR,14,FALSE),0)</f>
        <v>1.4873952316496199E-3</v>
      </c>
      <c r="Q56" s="52">
        <f>IFERROR(VLOOKUP(B56,'All Sickness'!A:D,4,FALSE),"-")</f>
        <v>7.8791079555216595E-2</v>
      </c>
      <c r="R56" s="43">
        <f>IFERROR(VLOOKUP(B56,'Previous Dashboard'!B:CR,16,FALSE),0)</f>
        <v>6.5744813054022203E-2</v>
      </c>
      <c r="S56" s="63">
        <f>IF(Q56&lt;=Benchmark!K$4,1,0)</f>
        <v>0</v>
      </c>
      <c r="T56" s="44">
        <f>IFERROR(VLOOKUP(B56,LT.ST!A:C,3,FALSE),"-")</f>
        <v>4.74092623712144E-2</v>
      </c>
      <c r="U56" s="43">
        <f>IFERROR(VLOOKUP(B56,'Previous Dashboard'!B:CR,19,FALSE),0)</f>
        <v>4.0959642218543001E-2</v>
      </c>
      <c r="V56" s="42">
        <f>IFERROR(VLOOKUP(B56,Turnover!A:C,2,FALSE),0)</f>
        <v>1.4035087719298201E-2</v>
      </c>
      <c r="W56" s="60">
        <f>IFERROR(VLOOKUP(B56,'Previous Dashboard'!B:CR,21,FALSE),0)</f>
        <v>3.2786885245901599E-2</v>
      </c>
      <c r="X56" s="63">
        <f>IF(V56&lt;=Benchmark!N$4,1,0)</f>
        <v>1</v>
      </c>
      <c r="Y56" s="159">
        <f>IFERROR(VLOOKUP(B56,Leavers!A:I,6,FALSE),0)</f>
        <v>4</v>
      </c>
      <c r="Z56" s="247">
        <f t="shared" si="19"/>
        <v>1</v>
      </c>
      <c r="AA56" s="298">
        <f>IFERROR(VLOOKUP(B56,'Previous Dashboard'!B:CR,25,FALSE),0)</f>
        <v>1</v>
      </c>
      <c r="AB56" s="188">
        <f>IFERROR(VLOOKUP(VLOOKUP($B56,'Pulse Mapping'!$A:$C,3,FALSE),'Pulse Survey'!$A:$J,2,FALSE),0)</f>
        <v>30</v>
      </c>
      <c r="AC56" s="25">
        <f>IFERROR(VLOOKUP(B56,'Previous Dashboard'!B:CR,27,FALSE),0)</f>
        <v>25</v>
      </c>
      <c r="AD56" s="362">
        <f t="shared" si="20"/>
        <v>0.1</v>
      </c>
      <c r="AE56" s="408">
        <f>IFERROR(VLOOKUP(B56,'Staff Engagement'!A:E,5,FALSE),0)</f>
        <v>7.7777777777777768</v>
      </c>
      <c r="AF56" s="409">
        <f>IFERROR(VLOOKUP(B56,'Previous Dashboard'!B:CQ,30,FALSE),0)</f>
        <v>7.4666666666666668</v>
      </c>
      <c r="AG56" s="112">
        <f>IFERROR(VLOOKUP(B56,'Staff Engagement'!A:E,2,FALSE),0)</f>
        <v>7.5555555555555554</v>
      </c>
      <c r="AH56" s="409">
        <f>IFERROR(VLOOKUP(B56,'Previous Dashboard'!B:CQ,32,FALSE),0)</f>
        <v>7.4666666666666668</v>
      </c>
      <c r="AI56" s="112">
        <f>IFERROR(VLOOKUP(B56,'Staff Engagement'!A:E,3,FALSE),0)</f>
        <v>7.6388888888888893</v>
      </c>
      <c r="AJ56" s="409">
        <f>IFERROR(VLOOKUP(B56,'Previous Dashboard'!B:CQ,34,FALSE),0)</f>
        <v>7.2666666666666666</v>
      </c>
      <c r="AK56" s="112">
        <f>IFERROR(VLOOKUP(B56,'Staff Engagement'!A:E,4,FALSE),0)</f>
        <v>8.1388888888888893</v>
      </c>
      <c r="AL56" s="271">
        <f>IFERROR(VLOOKUP(B56,'Previous Dashboard'!B:CQ,36,FALSE),0)</f>
        <v>7.666666666666667</v>
      </c>
      <c r="AM56" s="388"/>
      <c r="AN56" s="60">
        <f>IFERROR(VLOOKUP(VLOOKUP($B56,'Pulse Mapping'!$A:$C,3,FALSE),'Pulse Survey'!$A:$J,'Pulse Survey'!C$1,FALSE),0)</f>
        <v>0.73333333333333328</v>
      </c>
      <c r="AO56" s="63" cm="1">
        <f t="array" ref="AO56">_xlfn.IFS(AN56 = "-",0,AN56 &gt;=Benchmark!R$4,1,AN56&lt;Benchmark!R$4,0)</f>
        <v>1</v>
      </c>
      <c r="AP56" s="43">
        <f>IFERROR(VLOOKUP(B56,'Previous Dashboard'!B:CR,39,FALSE),0)</f>
        <v>0.64</v>
      </c>
      <c r="AQ56" s="43">
        <f>IFERROR(VLOOKUP(VLOOKUP($B56,'Pulse Mapping'!$A:$C,3,FALSE),'Pulse Survey'!$A:$J,'Pulse Survey'!D$1,FALSE),0)</f>
        <v>0.76666666666666661</v>
      </c>
      <c r="AR56" s="63" cm="1">
        <f t="array" ref="AR56">_xlfn.IFS(AQ56 = "-",0,AQ56 &gt;=Benchmark!T$4,1,AQ56&lt;Benchmark!T$4,0)</f>
        <v>1</v>
      </c>
      <c r="AS56" s="24">
        <f>IFERROR(VLOOKUP(B56,'Previous Dashboard'!B:CR,42,FALSE),0)</f>
        <v>0.67999999999999994</v>
      </c>
      <c r="AT56" s="43">
        <f>IFERROR(VLOOKUP(VLOOKUP($B56,'Pulse Mapping'!$A:$C,3,FALSE),'Pulse Survey'!$A:$J,'Pulse Survey'!E$1,FALSE),0)</f>
        <v>0.73333333333333339</v>
      </c>
      <c r="AU56" s="63" cm="1">
        <f t="array" ref="AU56">_xlfn.IFS(AT56 = "-",0,AT56 &gt;=Benchmark!V$4,1,AT56&lt;Benchmark!V$4,0)</f>
        <v>1</v>
      </c>
      <c r="AV56" s="24">
        <f>IFERROR(VLOOKUP(B56,'Previous Dashboard'!B:CR,45,FALSE),0)</f>
        <v>0.67999999999999994</v>
      </c>
      <c r="AW56" s="43">
        <f>IFERROR(VLOOKUP(VLOOKUP($B56,'Pulse Mapping'!$A:$C,3,FALSE),'Pulse Survey'!$A:$J,'Pulse Survey'!F$1,FALSE),0)</f>
        <v>0.76666666666666661</v>
      </c>
      <c r="AX56" s="63" cm="1">
        <f t="array" ref="AX56">_xlfn.IFS(AW56 = "-",0,AW56 &gt;=Benchmark!X$4,1,AW56&lt;Benchmark!X$4,0)</f>
        <v>1</v>
      </c>
      <c r="AY56" s="24">
        <f>IFERROR(VLOOKUP(B56,'Previous Dashboard'!B:CR,48,FALSE),0)</f>
        <v>0.72</v>
      </c>
      <c r="AZ56" s="43">
        <f>IFERROR(VLOOKUP(VLOOKUP($B56,'Pulse Mapping'!$A:$C,3,FALSE),'Pulse Survey'!$A:$J,'Pulse Survey'!G$1,FALSE),0)</f>
        <v>0.7</v>
      </c>
      <c r="BA56" s="63" cm="1">
        <f t="array" ref="BA56">_xlfn.IFS(AZ56 = "-",0,AZ56 &gt;=Benchmark!Z$4,1,AZ56&lt;Benchmark!Z$4,0)</f>
        <v>1</v>
      </c>
      <c r="BB56" s="24">
        <f>IFERROR(VLOOKUP(B56,'Previous Dashboard'!B:CR,51,FALSE),0)</f>
        <v>0.72</v>
      </c>
      <c r="BC56" s="43">
        <f>IFERROR(VLOOKUP(VLOOKUP($B56,'Pulse Mapping'!$A:$C,3,FALSE),'Pulse Survey'!$A:$J,'Pulse Survey'!H$1,FALSE),0)</f>
        <v>0.73333333333333339</v>
      </c>
      <c r="BD56" s="63" cm="1">
        <f t="array" ref="BD56">_xlfn.IFS(BC56 = "-",0,BC56 &gt;=Benchmark!AB$4,1,BC56&lt;Benchmark!AB$4,0)</f>
        <v>1</v>
      </c>
      <c r="BE56" s="24">
        <f>IFERROR(VLOOKUP(B56,'Previous Dashboard'!B:CR,54,FALSE),0)</f>
        <v>0.68</v>
      </c>
      <c r="BF56" s="43">
        <f>IFERROR(VLOOKUP(VLOOKUP($B56,'Pulse Mapping'!$A:$C,3,FALSE),'Pulse Survey'!$A:$J,'Pulse Survey'!I$1,FALSE),0)</f>
        <v>0.83333333333333326</v>
      </c>
      <c r="BG56" s="63" cm="1">
        <f t="array" ref="BG56">_xlfn.IFS(BF56 = "-",0,BF56 &gt;=Benchmark!AD$4,1,BF56&lt;Benchmark!AD$4,0)</f>
        <v>1</v>
      </c>
      <c r="BH56" s="91">
        <f>IFERROR(VLOOKUP(B56,'Previous Dashboard'!B:CR,57,FALSE),0)</f>
        <v>0.72000000000000008</v>
      </c>
      <c r="BI56" s="44">
        <f>IFERROR(VLOOKUP(VLOOKUP($B56,'Pulse Mapping'!$A:$C,3,FALSE),'Pulse Survey'!$A:$J,'Pulse Survey'!J$1,FALSE),0)</f>
        <v>0.6</v>
      </c>
      <c r="BJ56" s="63" cm="1">
        <f t="array" ref="BJ56">_xlfn.IFS(BI56 = "-",0,BI56 &gt;=Benchmark!AF$4,1,BI56&lt;Benchmark!AF$4,0)</f>
        <v>0</v>
      </c>
      <c r="BK56" s="145">
        <f>IFERROR(VLOOKUP(B56,'Previous Dashboard'!B:CR,60,FALSE),0)</f>
        <v>0.68</v>
      </c>
      <c r="BL56" s="224">
        <f t="shared" si="21"/>
        <v>7</v>
      </c>
      <c r="BM56" s="325">
        <f>IFERROR(VLOOKUP(B56,'Previous Dashboard'!B:CR,63,FALSE),0)</f>
        <v>7</v>
      </c>
      <c r="BN56" s="285">
        <f t="shared" si="11"/>
        <v>8</v>
      </c>
      <c r="BO56" s="190">
        <f>IFERROR(VLOOKUP(B56,'Previous Dashboard'!B:CR,65,FALSE),0)</f>
        <v>8</v>
      </c>
      <c r="BP56" s="25">
        <f>IFERROR(VLOOKUP(B56,'Previous Dashboard'!B:CR,66,FALSE),0)</f>
        <v>9</v>
      </c>
      <c r="BQ56" s="288">
        <f>IFERROR(VLOOKUP(B56,'Previous Dashboard'!B:CR,67,FALSE),0)</f>
        <v>1</v>
      </c>
      <c r="BR56" s="99"/>
      <c r="BS56" s="403">
        <f>IFERROR(VLOOKUP(B56,'Staff Survey'!B:L,3,FALSE),"-")</f>
        <v>7.4</v>
      </c>
      <c r="BT56" s="401" t="s">
        <v>389</v>
      </c>
      <c r="BU56" s="136">
        <f>IFERROR(VLOOKUP(B56,'Staff Survey'!B:L,4,FALSE),"-")</f>
        <v>6.4</v>
      </c>
      <c r="BV56" s="399" t="s">
        <v>389</v>
      </c>
      <c r="BW56" s="403">
        <f>IFERROR(VLOOKUP(B56,'Staff Survey'!B:L,5,FALSE),"-")</f>
        <v>6.8</v>
      </c>
      <c r="BX56" s="402" t="s">
        <v>389</v>
      </c>
      <c r="BY56" s="403">
        <f>IFERROR(VLOOKUP(B56,'Staff Survey'!B:L,6,FALSE),"-")</f>
        <v>6.5</v>
      </c>
      <c r="BZ56" s="402" t="s">
        <v>389</v>
      </c>
      <c r="CA56" s="403">
        <f>IFERROR(VLOOKUP(B56,'Staff Survey'!B:L,7,FALSE),"-")</f>
        <v>5.7</v>
      </c>
      <c r="CB56" s="428" t="s">
        <v>389</v>
      </c>
      <c r="CC56" s="403">
        <f>IFERROR(VLOOKUP(B56,'Staff Survey'!B:L,8,FALSE),"-")</f>
        <v>6.6</v>
      </c>
      <c r="CD56" s="428" t="s">
        <v>389</v>
      </c>
      <c r="CE56" s="403">
        <f>IFERROR(VLOOKUP(B56,'Staff Survey'!B:L,9,FALSE),"-")</f>
        <v>6.9</v>
      </c>
      <c r="CF56" s="428" t="s">
        <v>389</v>
      </c>
      <c r="CG56" s="140">
        <f>IFERROR(VLOOKUP(B56,'Staff Survey'!B:L,10,FALSE),"-")</f>
        <v>6.8</v>
      </c>
      <c r="CH56" s="417" t="s">
        <v>389</v>
      </c>
      <c r="CI56" s="412">
        <f>IFERROR(VLOOKUP(B56,'Staff Survey'!B:L,11,FALSE),"-")</f>
        <v>6.2</v>
      </c>
      <c r="CJ56" s="419" t="s">
        <v>389</v>
      </c>
      <c r="CL56" s="119">
        <f>IFERROR(VLOOKUP(B56,'LfE . HR Ops . F2SU'!A:B,2,FALSE),0)</f>
        <v>4</v>
      </c>
      <c r="CM56" s="119">
        <f>IFERROR(VLOOKUP(B56,'Previous Dashboard'!B:CR,89,FALSE),0)</f>
        <v>21</v>
      </c>
      <c r="CN56" s="124"/>
      <c r="CO56" s="125"/>
      <c r="CP56" s="126"/>
      <c r="CQ56" s="126"/>
    </row>
    <row r="57" spans="1:95" ht="15.75" thickBot="1" x14ac:dyDescent="0.3">
      <c r="A57" s="652"/>
      <c r="B57" s="543" t="s">
        <v>21</v>
      </c>
      <c r="C57" s="310">
        <f>IFERROR(VLOOKUP(B57,'Staff In Post'!A:C,3,FALSE),0)</f>
        <v>980</v>
      </c>
      <c r="D57" s="246">
        <f>IFERROR(VLOOKUP(B57,'Mandatory Training'!A:C,3,FALSE),0)</f>
        <v>0.40021810250817885</v>
      </c>
      <c r="E57" s="24">
        <f>IFERROR(VLOOKUP(B57,'Previous Dashboard'!B:CR,3,FALSE),0)</f>
        <v>0.39868565169769987</v>
      </c>
      <c r="F57" s="63">
        <f>IF(D57&gt;=Benchmark!C$4,1,0)</f>
        <v>0</v>
      </c>
      <c r="G57" s="17">
        <f>IFERROR(VLOOKUP(B57,Appraisals!A:C,3,FALSE),0)</f>
        <v>0.69786096256684493</v>
      </c>
      <c r="H57" s="24">
        <f>IFERROR(VLOOKUP(B57,'Previous Dashboard'!B:CR,6,FALSE),0)</f>
        <v>0.59420289855072461</v>
      </c>
      <c r="I57" s="63">
        <f>IF(G57&gt;=Benchmark!E$4,1,0)</f>
        <v>0</v>
      </c>
      <c r="J57" s="59">
        <f t="shared" si="17"/>
        <v>0.54903953253751192</v>
      </c>
      <c r="K57" s="91">
        <f t="shared" si="18"/>
        <v>0.49644427512421224</v>
      </c>
      <c r="L57" s="63">
        <f>IF(J57&gt;=Benchmark!G$4,1,0)</f>
        <v>0</v>
      </c>
      <c r="M57" s="51">
        <f>IFERROR(VLOOKUP(B57,Stress!A:D,4,FALSE),"-")</f>
        <v>1.5718604228782102E-2</v>
      </c>
      <c r="N57" s="60">
        <f>IFERROR(VLOOKUP(B57,'Previous Dashboard'!B:CR,12,FALSE),0)</f>
        <v>1.23147157269174E-2</v>
      </c>
      <c r="O57" s="52">
        <f>IFERROR(VLOOKUP(B57,'Musculo Skeletal'!A:D,4,FALSE),"-")</f>
        <v>1.6973927226638399E-2</v>
      </c>
      <c r="P57" s="43">
        <f>IFERROR(VLOOKUP(B57,'Previous Dashboard'!B:CR,14,FALSE),0)</f>
        <v>1.9540281121536E-2</v>
      </c>
      <c r="Q57" s="52">
        <f>IFERROR(VLOOKUP(B57,'All Sickness'!A:D,4,FALSE),"-")</f>
        <v>8.5644966908064502E-2</v>
      </c>
      <c r="R57" s="43">
        <f>IFERROR(VLOOKUP(B57,'Previous Dashboard'!B:CR,16,FALSE),0)</f>
        <v>8.5599253822697799E-2</v>
      </c>
      <c r="S57" s="63">
        <f>IF(Q57&lt;=Benchmark!K$4,1,0)</f>
        <v>0</v>
      </c>
      <c r="T57" s="44">
        <f>IFERROR(VLOOKUP(B57,LT.ST!A:C,3,FALSE),"-")</f>
        <v>4.9185767648676194E-2</v>
      </c>
      <c r="U57" s="43">
        <f>IFERROR(VLOOKUP(B57,'Previous Dashboard'!B:CR,19,FALSE),0)</f>
        <v>4.7401436059761402E-2</v>
      </c>
      <c r="V57" s="42">
        <f>IFERROR(VLOOKUP(B57,Turnover!A:C,2,FALSE),0)</f>
        <v>3.3092037228541898E-2</v>
      </c>
      <c r="W57" s="60">
        <f>IFERROR(VLOOKUP(B57,'Previous Dashboard'!B:CR,21,FALSE),0)</f>
        <v>2.2880915236609501E-2</v>
      </c>
      <c r="X57" s="63">
        <f>IF(V57&lt;=Benchmark!N$4,1,0)</f>
        <v>1</v>
      </c>
      <c r="Y57" s="159">
        <f>IFERROR(VLOOKUP(B57,Leavers!A:I,6,FALSE),0)</f>
        <v>32</v>
      </c>
      <c r="Z57" s="247">
        <f t="shared" si="19"/>
        <v>1</v>
      </c>
      <c r="AA57" s="298">
        <f>IFERROR(VLOOKUP(B57,'Previous Dashboard'!B:CR,25,FALSE),0)</f>
        <v>1</v>
      </c>
      <c r="AB57" s="188">
        <f>IFERROR(VLOOKUP(VLOOKUP($B57,'Pulse Mapping'!$A:$C,3,FALSE),'Pulse Survey'!$A:$J,2,FALSE),0)</f>
        <v>58</v>
      </c>
      <c r="AC57" s="25">
        <f>IFERROR(VLOOKUP(B57,'Previous Dashboard'!B:CR,27,FALSE),0)</f>
        <v>76</v>
      </c>
      <c r="AD57" s="362">
        <f t="shared" si="20"/>
        <v>5.9183673469387757E-2</v>
      </c>
      <c r="AE57" s="408">
        <f>IFERROR(VLOOKUP(B57,'Staff Engagement'!A:E,5,FALSE),0)</f>
        <v>6.8582375478927196</v>
      </c>
      <c r="AF57" s="409">
        <f>IFERROR(VLOOKUP(B57,'Previous Dashboard'!B:CQ,30,FALSE),0)</f>
        <v>6.6264619883040945</v>
      </c>
      <c r="AG57" s="112">
        <f>IFERROR(VLOOKUP(B57,'Staff Engagement'!A:E,2,FALSE),0)</f>
        <v>7.3994252873563218</v>
      </c>
      <c r="AH57" s="409">
        <f>IFERROR(VLOOKUP(B57,'Previous Dashboard'!B:CQ,32,FALSE),0)</f>
        <v>6.9846491228070171</v>
      </c>
      <c r="AI57" s="112">
        <f>IFERROR(VLOOKUP(B57,'Staff Engagement'!A:E,3,FALSE),0)</f>
        <v>5.7183908045977008</v>
      </c>
      <c r="AJ57" s="409">
        <f>IFERROR(VLOOKUP(B57,'Previous Dashboard'!B:CQ,34,FALSE),0)</f>
        <v>5.7565789473684212</v>
      </c>
      <c r="AK57" s="112">
        <f>IFERROR(VLOOKUP(B57,'Staff Engagement'!A:E,4,FALSE),0)</f>
        <v>7.4568965517241379</v>
      </c>
      <c r="AL57" s="271">
        <f>IFERROR(VLOOKUP(B57,'Previous Dashboard'!B:CQ,36,FALSE),0)</f>
        <v>7.1381578947368425</v>
      </c>
      <c r="AM57" s="388"/>
      <c r="AN57" s="60">
        <f>IFERROR(VLOOKUP(VLOOKUP($B57,'Pulse Mapping'!$A:$C,3,FALSE),'Pulse Survey'!$A:$J,'Pulse Survey'!C$1,FALSE),0)</f>
        <v>0.65517241379310343</v>
      </c>
      <c r="AO57" s="63" cm="1">
        <f t="array" ref="AO57">_xlfn.IFS(AN57 = "-",0,AN57 &gt;=Benchmark!R$4,1,AN57&lt;Benchmark!R$4,0)</f>
        <v>0</v>
      </c>
      <c r="AP57" s="43">
        <f>IFERROR(VLOOKUP(B57,'Previous Dashboard'!B:CR,39,FALSE),0)</f>
        <v>0.68421052631578949</v>
      </c>
      <c r="AQ57" s="43">
        <f>IFERROR(VLOOKUP(VLOOKUP($B57,'Pulse Mapping'!$A:$C,3,FALSE),'Pulse Survey'!$A:$J,'Pulse Survey'!D$1,FALSE),0)</f>
        <v>0.7068965517241379</v>
      </c>
      <c r="AR57" s="63" cm="1">
        <f t="array" ref="AR57">_xlfn.IFS(AQ57 = "-",0,AQ57 &gt;=Benchmark!T$4,1,AQ57&lt;Benchmark!T$4,0)</f>
        <v>1</v>
      </c>
      <c r="AS57" s="24">
        <f>IFERROR(VLOOKUP(B57,'Previous Dashboard'!B:CR,42,FALSE),0)</f>
        <v>0.73684210526315796</v>
      </c>
      <c r="AT57" s="43">
        <f>IFERROR(VLOOKUP(VLOOKUP($B57,'Pulse Mapping'!$A:$C,3,FALSE),'Pulse Survey'!$A:$J,'Pulse Survey'!E$1,FALSE),0)</f>
        <v>0.41379310344827591</v>
      </c>
      <c r="AU57" s="63" cm="1">
        <f t="array" ref="AU57">_xlfn.IFS(AT57 = "-",0,AT57 &gt;=Benchmark!V$4,1,AT57&lt;Benchmark!V$4,0)</f>
        <v>0</v>
      </c>
      <c r="AV57" s="24">
        <f>IFERROR(VLOOKUP(B57,'Previous Dashboard'!B:CR,45,FALSE),0)</f>
        <v>0.36842105263157898</v>
      </c>
      <c r="AW57" s="43">
        <f>IFERROR(VLOOKUP(VLOOKUP($B57,'Pulse Mapping'!$A:$C,3,FALSE),'Pulse Survey'!$A:$J,'Pulse Survey'!F$1,FALSE),0)</f>
        <v>0.53448275862068972</v>
      </c>
      <c r="AX57" s="63" cm="1">
        <f t="array" ref="AX57">_xlfn.IFS(AW57 = "-",0,AW57 &gt;=Benchmark!X$4,1,AW57&lt;Benchmark!X$4,0)</f>
        <v>0</v>
      </c>
      <c r="AY57" s="24">
        <f>IFERROR(VLOOKUP(B57,'Previous Dashboard'!B:CR,48,FALSE),0)</f>
        <v>0.51315789473684215</v>
      </c>
      <c r="AZ57" s="43">
        <f>IFERROR(VLOOKUP(VLOOKUP($B57,'Pulse Mapping'!$A:$C,3,FALSE),'Pulse Survey'!$A:$J,'Pulse Survey'!G$1,FALSE),0)</f>
        <v>0.68965517241379315</v>
      </c>
      <c r="BA57" s="63" cm="1">
        <f t="array" ref="BA57">_xlfn.IFS(AZ57 = "-",0,AZ57 &gt;=Benchmark!Z$4,1,AZ57&lt;Benchmark!Z$4,0)</f>
        <v>1</v>
      </c>
      <c r="BB57" s="24">
        <f>IFERROR(VLOOKUP(B57,'Previous Dashboard'!B:CR,51,FALSE),0)</f>
        <v>0.64473684210526316</v>
      </c>
      <c r="BC57" s="43">
        <f>IFERROR(VLOOKUP(VLOOKUP($B57,'Pulse Mapping'!$A:$C,3,FALSE),'Pulse Survey'!$A:$J,'Pulse Survey'!H$1,FALSE),0)</f>
        <v>0.39655172413793105</v>
      </c>
      <c r="BD57" s="63" cm="1">
        <f t="array" ref="BD57">_xlfn.IFS(BC57 = "-",0,BC57 &gt;=Benchmark!AB$4,1,BC57&lt;Benchmark!AB$4,0)</f>
        <v>0</v>
      </c>
      <c r="BE57" s="24">
        <f>IFERROR(VLOOKUP(B57,'Previous Dashboard'!B:CR,54,FALSE),0)</f>
        <v>0.40789473684210531</v>
      </c>
      <c r="BF57" s="43">
        <f>IFERROR(VLOOKUP(VLOOKUP($B57,'Pulse Mapping'!$A:$C,3,FALSE),'Pulse Survey'!$A:$J,'Pulse Survey'!I$1,FALSE),0)</f>
        <v>0.46551724137931039</v>
      </c>
      <c r="BG57" s="63" cm="1">
        <f t="array" ref="BG57">_xlfn.IFS(BF57 = "-",0,BF57 &gt;=Benchmark!AD$4,1,BF57&lt;Benchmark!AD$4,0)</f>
        <v>0</v>
      </c>
      <c r="BH57" s="91">
        <f>IFERROR(VLOOKUP(B57,'Previous Dashboard'!B:CR,57,FALSE),0)</f>
        <v>0.48684210526315785</v>
      </c>
      <c r="BI57" s="44">
        <f>IFERROR(VLOOKUP(VLOOKUP($B57,'Pulse Mapping'!$A:$C,3,FALSE),'Pulse Survey'!$A:$J,'Pulse Survey'!J$1,FALSE),0)</f>
        <v>0.53448275862068972</v>
      </c>
      <c r="BJ57" s="63" cm="1">
        <f t="array" ref="BJ57">_xlfn.IFS(BI57 = "-",0,BI57 &gt;=Benchmark!AF$4,1,BI57&lt;Benchmark!AF$4,0)</f>
        <v>0</v>
      </c>
      <c r="BK57" s="145">
        <f>IFERROR(VLOOKUP(B57,'Previous Dashboard'!B:CR,60,FALSE),0)</f>
        <v>0.46052631578947367</v>
      </c>
      <c r="BL57" s="224">
        <f>SUM(AO57, AR57, AU57, AX57, BA57, BD57, BG57, BJ57)</f>
        <v>2</v>
      </c>
      <c r="BM57" s="325">
        <f>IFERROR(VLOOKUP(B57,'Previous Dashboard'!B:CR,63,FALSE),0)</f>
        <v>2</v>
      </c>
      <c r="BN57" s="285">
        <f t="shared" si="11"/>
        <v>3</v>
      </c>
      <c r="BO57" s="190">
        <f>IFERROR(VLOOKUP(B57,'Previous Dashboard'!B:CR,65,FALSE),0)</f>
        <v>3</v>
      </c>
      <c r="BP57" s="25">
        <f>IFERROR(VLOOKUP(B57,'Previous Dashboard'!B:CR,66,FALSE),0)</f>
        <v>2</v>
      </c>
      <c r="BQ57" s="288">
        <f>IFERROR(VLOOKUP(B57,'Previous Dashboard'!B:CR,67,FALSE),0)</f>
        <v>3</v>
      </c>
      <c r="BR57" s="99"/>
      <c r="BS57" s="403">
        <f>IFERROR(VLOOKUP(B57,'Staff Survey'!B:L,3,FALSE),"-")</f>
        <v>6.7</v>
      </c>
      <c r="BT57" s="401" t="s">
        <v>389</v>
      </c>
      <c r="BU57" s="136">
        <f>IFERROR(VLOOKUP(B57,'Staff Survey'!B:L,4,FALSE),"-")</f>
        <v>5.5</v>
      </c>
      <c r="BV57" s="399" t="s">
        <v>389</v>
      </c>
      <c r="BW57" s="403">
        <f>IFERROR(VLOOKUP(B57,'Staff Survey'!B:L,5,FALSE),"-")</f>
        <v>6.2</v>
      </c>
      <c r="BX57" s="402" t="s">
        <v>389</v>
      </c>
      <c r="BY57" s="403">
        <f>IFERROR(VLOOKUP(B57,'Staff Survey'!B:L,6,FALSE),"-")</f>
        <v>6.3</v>
      </c>
      <c r="BZ57" s="402" t="s">
        <v>389</v>
      </c>
      <c r="CA57" s="403">
        <f>IFERROR(VLOOKUP(B57,'Staff Survey'!B:L,7,FALSE),"-")</f>
        <v>4.3</v>
      </c>
      <c r="CB57" s="428" t="s">
        <v>389</v>
      </c>
      <c r="CC57" s="403">
        <f>IFERROR(VLOOKUP(B57,'Staff Survey'!B:L,8,FALSE),"-")</f>
        <v>5.6</v>
      </c>
      <c r="CD57" s="428" t="s">
        <v>389</v>
      </c>
      <c r="CE57" s="403">
        <f>IFERROR(VLOOKUP(B57,'Staff Survey'!B:L,9,FALSE),"-")</f>
        <v>5.7</v>
      </c>
      <c r="CF57" s="428" t="s">
        <v>389</v>
      </c>
      <c r="CG57" s="140">
        <f>IFERROR(VLOOKUP(B57,'Staff Survey'!B:L,10,FALSE),"-")</f>
        <v>6.6</v>
      </c>
      <c r="CH57" s="277">
        <v>6.9</v>
      </c>
      <c r="CI57" s="412">
        <f>IFERROR(VLOOKUP(B57,'Staff Survey'!B:L,11,FALSE),"-")</f>
        <v>5.8</v>
      </c>
      <c r="CJ57" s="111">
        <v>6.5</v>
      </c>
      <c r="CL57" s="119">
        <f>IFERROR(VLOOKUP(B57,'LfE . HR Ops . F2SU'!A:B,2,FALSE),0)</f>
        <v>53</v>
      </c>
      <c r="CM57" s="119">
        <f>IFERROR(VLOOKUP(B57,'Previous Dashboard'!B:CR,89,FALSE),0)</f>
        <v>24</v>
      </c>
      <c r="CN57" s="124"/>
      <c r="CO57" s="125"/>
      <c r="CP57" s="126"/>
      <c r="CQ57" s="126"/>
    </row>
    <row r="58" spans="1:95" ht="15" customHeight="1" x14ac:dyDescent="0.25">
      <c r="A58" s="650" t="s">
        <v>299</v>
      </c>
      <c r="B58" s="545" t="s">
        <v>3</v>
      </c>
      <c r="C58" s="310">
        <f>IFERROR(VLOOKUP(B58,'Staff In Post'!A:C,3,FALSE),0)</f>
        <v>40</v>
      </c>
      <c r="D58" s="246">
        <f>IFERROR(VLOOKUP(B58,'Mandatory Training'!A:C,3,FALSE),0)</f>
        <v>0.79487179487179482</v>
      </c>
      <c r="E58" s="24">
        <f>IFERROR(VLOOKUP(B58,'Previous Dashboard'!B:CR,3,FALSE),0)</f>
        <v>0.70967741935483875</v>
      </c>
      <c r="F58" s="63">
        <f>IF(D58&gt;=Benchmark!C$4,1,0)</f>
        <v>0</v>
      </c>
      <c r="G58" s="17">
        <f>IFERROR(VLOOKUP(B58,Appraisals!A:C,3,FALSE),0)</f>
        <v>0.62068965517241381</v>
      </c>
      <c r="H58" s="24">
        <f>IFERROR(VLOOKUP(B58,'Previous Dashboard'!B:CR,6,FALSE),0)</f>
        <v>0.64</v>
      </c>
      <c r="I58" s="63">
        <f>IF(G58&gt;=Benchmark!E$4,1,0)</f>
        <v>0</v>
      </c>
      <c r="J58" s="59">
        <f t="shared" si="6"/>
        <v>0.70778072502210432</v>
      </c>
      <c r="K58" s="91">
        <f t="shared" si="7"/>
        <v>0.67483870967741932</v>
      </c>
      <c r="L58" s="63">
        <f>IF(J58&gt;=Benchmark!G$4,1,0)</f>
        <v>0</v>
      </c>
      <c r="M58" s="51">
        <f>IFERROR(VLOOKUP(B58,Stress!A:D,4,FALSE),"-")</f>
        <v>2.1214878853372799E-2</v>
      </c>
      <c r="N58" s="60">
        <f>IFERROR(VLOOKUP(B58,'Previous Dashboard'!B:CR,12,FALSE),0)</f>
        <v>2.4934922592135901E-2</v>
      </c>
      <c r="O58" s="52">
        <f>IFERROR(VLOOKUP(B58,'Musculo Skeletal'!A:D,4,FALSE),"-")</f>
        <v>0</v>
      </c>
      <c r="P58" s="43">
        <f>IFERROR(VLOOKUP(B58,'Previous Dashboard'!B:CR,14,FALSE),0)</f>
        <v>0</v>
      </c>
      <c r="Q58" s="52">
        <f>IFERROR(VLOOKUP(B58,'All Sickness'!A:D,4,FALSE),"-")</f>
        <v>5.3236264361278603E-2</v>
      </c>
      <c r="R58" s="43">
        <f>IFERROR(VLOOKUP(B58,'Previous Dashboard'!B:CR,16,FALSE),0)</f>
        <v>3.0552130428825899E-2</v>
      </c>
      <c r="S58" s="63">
        <f>IF(Q58&lt;=Benchmark!K$4,1,0)</f>
        <v>0</v>
      </c>
      <c r="T58" s="44">
        <f>IFERROR(VLOOKUP(B58,LT.ST!A:C,3,FALSE),"-")</f>
        <v>3.7709020589239001E-2</v>
      </c>
      <c r="U58" s="43">
        <f>IFERROR(VLOOKUP(B58,'Previous Dashboard'!B:CR,19,FALSE),0)</f>
        <v>2.4934922592135901E-2</v>
      </c>
      <c r="V58" s="42">
        <f>IFERROR(VLOOKUP(B58,Turnover!A:C,2,FALSE),0)</f>
        <v>2.66666666666667E-2</v>
      </c>
      <c r="W58" s="60">
        <f>IFERROR(VLOOKUP(B58,'Previous Dashboard'!B:CR,21,FALSE),0)</f>
        <v>0</v>
      </c>
      <c r="X58" s="63">
        <f>IF(V58&lt;=Benchmark!N$4,1,0)</f>
        <v>1</v>
      </c>
      <c r="Y58" s="159">
        <f>IFERROR(VLOOKUP(B58,Leavers!A:I,6,FALSE),0)</f>
        <v>1</v>
      </c>
      <c r="Z58" s="247">
        <f t="shared" si="8"/>
        <v>1</v>
      </c>
      <c r="AA58" s="298">
        <f>IFERROR(VLOOKUP(B58,'Previous Dashboard'!B:CR,25,FALSE),0)</f>
        <v>2</v>
      </c>
      <c r="AB58" s="188">
        <f>IFERROR(VLOOKUP(VLOOKUP($B58,'Pulse Mapping'!$A:$C,3,FALSE),'Pulse Survey'!$A:$J,2,FALSE),0)</f>
        <v>3</v>
      </c>
      <c r="AC58" s="25">
        <f>IFERROR(VLOOKUP(B58,'Previous Dashboard'!B:CR,27,FALSE),0)</f>
        <v>3</v>
      </c>
      <c r="AD58" s="362">
        <f t="shared" si="9"/>
        <v>7.4999999999999997E-2</v>
      </c>
      <c r="AE58" s="388"/>
      <c r="AF58" s="515"/>
      <c r="AG58" s="515"/>
      <c r="AH58" s="113"/>
      <c r="AI58" s="89"/>
      <c r="AJ58" s="113"/>
      <c r="AK58" s="89"/>
      <c r="AL58" s="517"/>
      <c r="AM58" s="388"/>
      <c r="AN58" s="60" t="str">
        <f>IFERROR(VLOOKUP(VLOOKUP($B58,'Pulse Mapping'!$A:$C,3,FALSE),'Pulse Survey'!$A:$J,'Pulse Survey'!C$1,FALSE),0)</f>
        <v>-</v>
      </c>
      <c r="AO58" s="63" cm="1">
        <f t="array" ref="AO58">_xlfn.IFS(AN58 = "-",0,AN58 &gt;=Benchmark!R$4,1,AN58&lt;Benchmark!R$4,0)</f>
        <v>0</v>
      </c>
      <c r="AP58" s="43" t="str">
        <f>IFERROR(VLOOKUP(B58,'Previous Dashboard'!B:CR,39,FALSE),0)</f>
        <v>-</v>
      </c>
      <c r="AQ58" s="43" t="str">
        <f>IFERROR(VLOOKUP(VLOOKUP($B58,'Pulse Mapping'!$A:$C,3,FALSE),'Pulse Survey'!$A:$J,'Pulse Survey'!D$1,FALSE),0)</f>
        <v>-</v>
      </c>
      <c r="AR58" s="63" cm="1">
        <f t="array" ref="AR58">_xlfn.IFS(AQ58 = "-",0,AQ58 &gt;=Benchmark!T$4,1,AQ58&lt;Benchmark!T$4,0)</f>
        <v>0</v>
      </c>
      <c r="AS58" s="24" t="str">
        <f>IFERROR(VLOOKUP(B58,'Previous Dashboard'!B:CR,42,FALSE),0)</f>
        <v>-</v>
      </c>
      <c r="AT58" s="43" t="str">
        <f>IFERROR(VLOOKUP(VLOOKUP($B58,'Pulse Mapping'!$A:$C,3,FALSE),'Pulse Survey'!$A:$J,'Pulse Survey'!E$1,FALSE),0)</f>
        <v>-</v>
      </c>
      <c r="AU58" s="63" cm="1">
        <f t="array" ref="AU58">_xlfn.IFS(AT58 = "-",0,AT58 &gt;=Benchmark!V$4,1,AT58&lt;Benchmark!V$4,0)</f>
        <v>0</v>
      </c>
      <c r="AV58" s="24" t="str">
        <f>IFERROR(VLOOKUP(B58,'Previous Dashboard'!B:CR,45,FALSE),0)</f>
        <v>-</v>
      </c>
      <c r="AW58" s="43" t="str">
        <f>IFERROR(VLOOKUP(VLOOKUP($B58,'Pulse Mapping'!$A:$C,3,FALSE),'Pulse Survey'!$A:$J,'Pulse Survey'!F$1,FALSE),0)</f>
        <v>-</v>
      </c>
      <c r="AX58" s="63" cm="1">
        <f t="array" ref="AX58">_xlfn.IFS(AW58 = "-",0,AW58 &gt;=Benchmark!X$4,1,AW58&lt;Benchmark!X$4,0)</f>
        <v>0</v>
      </c>
      <c r="AY58" s="24" t="str">
        <f>IFERROR(VLOOKUP(B58,'Previous Dashboard'!B:CR,48,FALSE),0)</f>
        <v>-</v>
      </c>
      <c r="AZ58" s="43" t="str">
        <f>IFERROR(VLOOKUP(VLOOKUP($B58,'Pulse Mapping'!$A:$C,3,FALSE),'Pulse Survey'!$A:$J,'Pulse Survey'!G$1,FALSE),0)</f>
        <v>-</v>
      </c>
      <c r="BA58" s="63" cm="1">
        <f t="array" ref="BA58">_xlfn.IFS(AZ58 = "-",0,AZ58 &gt;=Benchmark!Z$4,1,AZ58&lt;Benchmark!Z$4,0)</f>
        <v>0</v>
      </c>
      <c r="BB58" s="24" t="str">
        <f>IFERROR(VLOOKUP(B58,'Previous Dashboard'!B:CR,51,FALSE),0)</f>
        <v>-</v>
      </c>
      <c r="BC58" s="43" t="str">
        <f>IFERROR(VLOOKUP(VLOOKUP($B58,'Pulse Mapping'!$A:$C,3,FALSE),'Pulse Survey'!$A:$J,'Pulse Survey'!H$1,FALSE),0)</f>
        <v>-</v>
      </c>
      <c r="BD58" s="63" cm="1">
        <f t="array" ref="BD58">_xlfn.IFS(BC58 = "-",0,BC58 &gt;=Benchmark!AB$4,1,BC58&lt;Benchmark!AB$4,0)</f>
        <v>0</v>
      </c>
      <c r="BE58" s="24" t="str">
        <f>IFERROR(VLOOKUP(B58,'Previous Dashboard'!B:CR,54,FALSE),0)</f>
        <v>-</v>
      </c>
      <c r="BF58" s="43" t="str">
        <f>IFERROR(VLOOKUP(VLOOKUP($B58,'Pulse Mapping'!$A:$C,3,FALSE),'Pulse Survey'!$A:$J,'Pulse Survey'!I$1,FALSE),0)</f>
        <v>-</v>
      </c>
      <c r="BG58" s="63" cm="1">
        <f t="array" ref="BG58">_xlfn.IFS(BF58 = "-",0,BF58 &gt;=Benchmark!AD$4,1,BF58&lt;Benchmark!AD$4,0)</f>
        <v>0</v>
      </c>
      <c r="BH58" s="91" t="str">
        <f>IFERROR(VLOOKUP(B58,'Previous Dashboard'!B:CR,57,FALSE),0)</f>
        <v>-</v>
      </c>
      <c r="BI58" s="44" t="str">
        <f>IFERROR(VLOOKUP(VLOOKUP($B58,'Pulse Mapping'!$A:$C,3,FALSE),'Pulse Survey'!$A:$J,'Pulse Survey'!J$1,FALSE),0)</f>
        <v>-</v>
      </c>
      <c r="BJ58" s="63" cm="1">
        <f t="array" ref="BJ58">_xlfn.IFS(BI58 = "-",0,BI58 &gt;=Benchmark!AF$4,1,BI58&lt;Benchmark!AF$4,0)</f>
        <v>0</v>
      </c>
      <c r="BK58" s="145" t="str">
        <f>IFERROR(VLOOKUP(B58,'Previous Dashboard'!B:CR,60,FALSE),0)</f>
        <v>-</v>
      </c>
      <c r="BL58" s="225"/>
      <c r="BM58" s="325">
        <f>IFERROR(VLOOKUP(B58,'Previous Dashboard'!B:CR,63,FALSE),0)</f>
        <v>0</v>
      </c>
      <c r="BN58" s="285">
        <f t="shared" si="11"/>
        <v>1</v>
      </c>
      <c r="BO58" s="190">
        <f>IFERROR(VLOOKUP(B58,'Previous Dashboard'!B:CR,65,FALSE),0)</f>
        <v>2</v>
      </c>
      <c r="BP58" s="25">
        <f>IFERROR(VLOOKUP(B58,'Previous Dashboard'!B:CR,66,FALSE),0)</f>
        <v>1</v>
      </c>
      <c r="BQ58" s="288">
        <f>IFERROR(VLOOKUP(B58,'Previous Dashboard'!B:CR,67,FALSE),0)</f>
        <v>2</v>
      </c>
      <c r="BR58" s="99"/>
      <c r="BS58" s="405"/>
      <c r="BT58" s="401" t="s">
        <v>389</v>
      </c>
      <c r="BU58" s="89"/>
      <c r="BV58" s="399" t="s">
        <v>389</v>
      </c>
      <c r="BW58" s="404"/>
      <c r="BX58" s="402" t="s">
        <v>389</v>
      </c>
      <c r="BY58" s="404"/>
      <c r="BZ58" s="402" t="s">
        <v>389</v>
      </c>
      <c r="CA58" s="404"/>
      <c r="CB58" s="428" t="s">
        <v>389</v>
      </c>
      <c r="CC58" s="404"/>
      <c r="CD58" s="428" t="s">
        <v>389</v>
      </c>
      <c r="CE58" s="404"/>
      <c r="CF58" s="428" t="s">
        <v>389</v>
      </c>
      <c r="CG58" s="405"/>
      <c r="CH58" s="410"/>
      <c r="CI58" s="405"/>
      <c r="CJ58" s="114"/>
      <c r="CL58" s="119" t="str">
        <f>IFERROR(VLOOKUP(B58,'LfE . HR Ops . F2SU'!A:B,2,FALSE),0)</f>
        <v>-</v>
      </c>
      <c r="CM58" s="119" t="str">
        <f>IFERROR(VLOOKUP(B58,'Previous Dashboard'!B:CR,89,FALSE),0)</f>
        <v>-</v>
      </c>
      <c r="CN58" s="124"/>
      <c r="CO58" s="125"/>
      <c r="CP58" s="126"/>
      <c r="CQ58" s="126"/>
    </row>
    <row r="59" spans="1:95" x14ac:dyDescent="0.25">
      <c r="A59" s="651"/>
      <c r="B59" s="545" t="s">
        <v>5</v>
      </c>
      <c r="C59" s="310">
        <f>IFERROR(VLOOKUP(B59,'Staff In Post'!A:C,3,FALSE),0)</f>
        <v>3</v>
      </c>
      <c r="D59" s="246">
        <f>IFERROR(VLOOKUP(B59,'Mandatory Training'!A:C,3,FALSE),0)</f>
        <v>1</v>
      </c>
      <c r="E59" s="24">
        <f>IFERROR(VLOOKUP(B59,'Previous Dashboard'!B:CR,3,FALSE),0)</f>
        <v>1</v>
      </c>
      <c r="F59" s="63">
        <f>IF(D59&gt;=Benchmark!C$4,1,0)</f>
        <v>1</v>
      </c>
      <c r="G59" s="17">
        <f>IFERROR(VLOOKUP(B59,Appraisals!A:C,3,FALSE),0)</f>
        <v>0.5</v>
      </c>
      <c r="H59" s="24">
        <f>IFERROR(VLOOKUP(B59,'Previous Dashboard'!B:CR,6,FALSE),0)</f>
        <v>0.5</v>
      </c>
      <c r="I59" s="63">
        <f>IF(G59&gt;=Benchmark!E$4,1,0)</f>
        <v>0</v>
      </c>
      <c r="J59" s="59">
        <f t="shared" si="6"/>
        <v>0.75</v>
      </c>
      <c r="K59" s="91">
        <f t="shared" si="7"/>
        <v>0.75</v>
      </c>
      <c r="L59" s="63">
        <f>IF(J59&gt;=Benchmark!G$4,1,0)</f>
        <v>0</v>
      </c>
      <c r="M59" s="51">
        <f>IFERROR(VLOOKUP(B59,Stress!A:D,4,FALSE),"-")</f>
        <v>0</v>
      </c>
      <c r="N59" s="60">
        <f>IFERROR(VLOOKUP(B59,'Previous Dashboard'!B:CR,12,FALSE),0)</f>
        <v>0</v>
      </c>
      <c r="O59" s="52">
        <f>IFERROR(VLOOKUP(B59,'Musculo Skeletal'!A:D,4,FALSE),"-")</f>
        <v>0</v>
      </c>
      <c r="P59" s="43">
        <f>IFERROR(VLOOKUP(B59,'Previous Dashboard'!B:CR,14,FALSE),0)</f>
        <v>0</v>
      </c>
      <c r="Q59" s="52">
        <f>IFERROR(VLOOKUP(B59,'All Sickness'!A:D,4,FALSE),"-")</f>
        <v>5.1150895140665001E-3</v>
      </c>
      <c r="R59" s="43">
        <f>IFERROR(VLOOKUP(B59,'Previous Dashboard'!B:CR,16,FALSE),0)</f>
        <v>1.03425985778927E-2</v>
      </c>
      <c r="S59" s="63">
        <f>IF(Q59&lt;=Benchmark!K$4,1,0)</f>
        <v>1</v>
      </c>
      <c r="T59" s="44">
        <f>IFERROR(VLOOKUP(B59,LT.ST!A:C,3,FALSE),"-")</f>
        <v>0</v>
      </c>
      <c r="U59" s="43">
        <f>IFERROR(VLOOKUP(B59,'Previous Dashboard'!B:CR,19,FALSE),0)</f>
        <v>0</v>
      </c>
      <c r="V59" s="42">
        <f>IFERROR(VLOOKUP(B59,Turnover!A:C,2,FALSE),0)</f>
        <v>0</v>
      </c>
      <c r="W59" s="60">
        <f>IFERROR(VLOOKUP(B59,'Previous Dashboard'!B:CR,21,FALSE),0)</f>
        <v>0</v>
      </c>
      <c r="X59" s="63">
        <f>IF(V59&lt;=Benchmark!N$4,1,0)</f>
        <v>1</v>
      </c>
      <c r="Y59" s="159">
        <f>IFERROR(VLOOKUP(B59,Leavers!A:I,6,FALSE),0)</f>
        <v>0</v>
      </c>
      <c r="Z59" s="247">
        <f t="shared" si="8"/>
        <v>2</v>
      </c>
      <c r="AA59" s="298">
        <f>IFERROR(VLOOKUP(B59,'Previous Dashboard'!B:CR,25,FALSE),0)</f>
        <v>2</v>
      </c>
      <c r="AB59" s="188">
        <f>IFERROR(VLOOKUP(VLOOKUP($B59,'Pulse Mapping'!$A:$C,3,FALSE),'Pulse Survey'!$A:$J,2,FALSE),0)</f>
        <v>2</v>
      </c>
      <c r="AC59" s="25">
        <f>IFERROR(VLOOKUP(B59,'Previous Dashboard'!B:CR,27,FALSE),0)</f>
        <v>1</v>
      </c>
      <c r="AD59" s="362">
        <f t="shared" si="9"/>
        <v>0.66666666666666663</v>
      </c>
      <c r="AE59" s="388"/>
      <c r="AF59" s="515"/>
      <c r="AG59" s="515"/>
      <c r="AH59" s="113"/>
      <c r="AI59" s="89"/>
      <c r="AJ59" s="113"/>
      <c r="AK59" s="89"/>
      <c r="AL59" s="517"/>
      <c r="AM59" s="388"/>
      <c r="AN59" s="60" t="str">
        <f>IFERROR(VLOOKUP(VLOOKUP($B59,'Pulse Mapping'!$A:$C,3,FALSE),'Pulse Survey'!$A:$J,'Pulse Survey'!C$1,FALSE),0)</f>
        <v>-</v>
      </c>
      <c r="AO59" s="63" cm="1">
        <f t="array" ref="AO59">_xlfn.IFS(AN59 = "-",0,AN59 &gt;=Benchmark!R$4,1,AN59&lt;Benchmark!R$4,0)</f>
        <v>0</v>
      </c>
      <c r="AP59" s="43" t="str">
        <f>IFERROR(VLOOKUP(B59,'Previous Dashboard'!B:CR,39,FALSE),0)</f>
        <v>-</v>
      </c>
      <c r="AQ59" s="43" t="str">
        <f>IFERROR(VLOOKUP(VLOOKUP($B59,'Pulse Mapping'!$A:$C,3,FALSE),'Pulse Survey'!$A:$J,'Pulse Survey'!D$1,FALSE),0)</f>
        <v>-</v>
      </c>
      <c r="AR59" s="63" cm="1">
        <f t="array" ref="AR59">_xlfn.IFS(AQ59 = "-",0,AQ59 &gt;=Benchmark!T$4,1,AQ59&lt;Benchmark!T$4,0)</f>
        <v>0</v>
      </c>
      <c r="AS59" s="24" t="str">
        <f>IFERROR(VLOOKUP(B59,'Previous Dashboard'!B:CR,42,FALSE),0)</f>
        <v>-</v>
      </c>
      <c r="AT59" s="43" t="str">
        <f>IFERROR(VLOOKUP(VLOOKUP($B59,'Pulse Mapping'!$A:$C,3,FALSE),'Pulse Survey'!$A:$J,'Pulse Survey'!E$1,FALSE),0)</f>
        <v>-</v>
      </c>
      <c r="AU59" s="63" cm="1">
        <f t="array" ref="AU59">_xlfn.IFS(AT59 = "-",0,AT59 &gt;=Benchmark!V$4,1,AT59&lt;Benchmark!V$4,0)</f>
        <v>0</v>
      </c>
      <c r="AV59" s="24" t="str">
        <f>IFERROR(VLOOKUP(B59,'Previous Dashboard'!B:CR,45,FALSE),0)</f>
        <v>-</v>
      </c>
      <c r="AW59" s="43" t="str">
        <f>IFERROR(VLOOKUP(VLOOKUP($B59,'Pulse Mapping'!$A:$C,3,FALSE),'Pulse Survey'!$A:$J,'Pulse Survey'!F$1,FALSE),0)</f>
        <v>-</v>
      </c>
      <c r="AX59" s="63" cm="1">
        <f t="array" ref="AX59">_xlfn.IFS(AW59 = "-",0,AW59 &gt;=Benchmark!X$4,1,AW59&lt;Benchmark!X$4,0)</f>
        <v>0</v>
      </c>
      <c r="AY59" s="24" t="str">
        <f>IFERROR(VLOOKUP(B59,'Previous Dashboard'!B:CR,48,FALSE),0)</f>
        <v>-</v>
      </c>
      <c r="AZ59" s="43" t="str">
        <f>IFERROR(VLOOKUP(VLOOKUP($B59,'Pulse Mapping'!$A:$C,3,FALSE),'Pulse Survey'!$A:$J,'Pulse Survey'!G$1,FALSE),0)</f>
        <v>-</v>
      </c>
      <c r="BA59" s="63" cm="1">
        <f t="array" ref="BA59">_xlfn.IFS(AZ59 = "-",0,AZ59 &gt;=Benchmark!Z$4,1,AZ59&lt;Benchmark!Z$4,0)</f>
        <v>0</v>
      </c>
      <c r="BB59" s="24" t="str">
        <f>IFERROR(VLOOKUP(B59,'Previous Dashboard'!B:CR,51,FALSE),0)</f>
        <v>-</v>
      </c>
      <c r="BC59" s="43" t="str">
        <f>IFERROR(VLOOKUP(VLOOKUP($B59,'Pulse Mapping'!$A:$C,3,FALSE),'Pulse Survey'!$A:$J,'Pulse Survey'!H$1,FALSE),0)</f>
        <v>-</v>
      </c>
      <c r="BD59" s="63" cm="1">
        <f t="array" ref="BD59">_xlfn.IFS(BC59 = "-",0,BC59 &gt;=Benchmark!AB$4,1,BC59&lt;Benchmark!AB$4,0)</f>
        <v>0</v>
      </c>
      <c r="BE59" s="24" t="str">
        <f>IFERROR(VLOOKUP(B59,'Previous Dashboard'!B:CR,54,FALSE),0)</f>
        <v>-</v>
      </c>
      <c r="BF59" s="43" t="str">
        <f>IFERROR(VLOOKUP(VLOOKUP($B59,'Pulse Mapping'!$A:$C,3,FALSE),'Pulse Survey'!$A:$J,'Pulse Survey'!I$1,FALSE),0)</f>
        <v>-</v>
      </c>
      <c r="BG59" s="63" cm="1">
        <f t="array" ref="BG59">_xlfn.IFS(BF59 = "-",0,BF59 &gt;=Benchmark!AD$4,1,BF59&lt;Benchmark!AD$4,0)</f>
        <v>0</v>
      </c>
      <c r="BH59" s="91" t="str">
        <f>IFERROR(VLOOKUP(B59,'Previous Dashboard'!B:CR,57,FALSE),0)</f>
        <v>-</v>
      </c>
      <c r="BI59" s="44" t="str">
        <f>IFERROR(VLOOKUP(VLOOKUP($B59,'Pulse Mapping'!$A:$C,3,FALSE),'Pulse Survey'!$A:$J,'Pulse Survey'!J$1,FALSE),0)</f>
        <v>-</v>
      </c>
      <c r="BJ59" s="63" cm="1">
        <f t="array" ref="BJ59">_xlfn.IFS(BI59 = "-",0,BI59 &gt;=Benchmark!AF$4,1,BI59&lt;Benchmark!AF$4,0)</f>
        <v>0</v>
      </c>
      <c r="BK59" s="145" t="str">
        <f>IFERROR(VLOOKUP(B59,'Previous Dashboard'!B:CR,60,FALSE),0)</f>
        <v>-</v>
      </c>
      <c r="BL59" s="225"/>
      <c r="BM59" s="325">
        <f>IFERROR(VLOOKUP(B59,'Previous Dashboard'!B:CR,63,FALSE),0)</f>
        <v>0</v>
      </c>
      <c r="BN59" s="285">
        <f t="shared" si="11"/>
        <v>2</v>
      </c>
      <c r="BO59" s="190">
        <f>IFERROR(VLOOKUP(B59,'Previous Dashboard'!B:CR,65,FALSE),0)</f>
        <v>2</v>
      </c>
      <c r="BP59" s="25">
        <f>IFERROR(VLOOKUP(B59,'Previous Dashboard'!B:CR,66,FALSE),0)</f>
        <v>2</v>
      </c>
      <c r="BQ59" s="288">
        <f>IFERROR(VLOOKUP(B59,'Previous Dashboard'!B:CR,67,FALSE),0)</f>
        <v>2</v>
      </c>
      <c r="BR59" s="99"/>
      <c r="BS59" s="405"/>
      <c r="BT59" s="401" t="s">
        <v>389</v>
      </c>
      <c r="BU59" s="89"/>
      <c r="BV59" s="399" t="s">
        <v>389</v>
      </c>
      <c r="BW59" s="404"/>
      <c r="BX59" s="402" t="s">
        <v>389</v>
      </c>
      <c r="BY59" s="404"/>
      <c r="BZ59" s="402" t="s">
        <v>389</v>
      </c>
      <c r="CA59" s="404"/>
      <c r="CB59" s="428" t="s">
        <v>389</v>
      </c>
      <c r="CC59" s="404"/>
      <c r="CD59" s="428" t="s">
        <v>389</v>
      </c>
      <c r="CE59" s="404"/>
      <c r="CF59" s="428" t="s">
        <v>389</v>
      </c>
      <c r="CG59" s="405"/>
      <c r="CH59" s="410"/>
      <c r="CI59" s="405"/>
      <c r="CJ59" s="114"/>
      <c r="CL59" s="119" t="str">
        <f>IFERROR(VLOOKUP(B59,'LfE . HR Ops . F2SU'!A:B,2,FALSE),0)</f>
        <v>-</v>
      </c>
      <c r="CM59" s="119" t="str">
        <f>IFERROR(VLOOKUP(B59,'Previous Dashboard'!B:CR,89,FALSE),0)</f>
        <v>-</v>
      </c>
      <c r="CN59" s="124"/>
      <c r="CO59" s="125"/>
      <c r="CP59" s="126"/>
      <c r="CQ59" s="126"/>
    </row>
    <row r="60" spans="1:95" x14ac:dyDescent="0.25">
      <c r="A60" s="651"/>
      <c r="B60" s="545" t="s">
        <v>38</v>
      </c>
      <c r="C60" s="310">
        <f>IFERROR(VLOOKUP(B60,'Staff In Post'!A:C,3,FALSE),0)</f>
        <v>23</v>
      </c>
      <c r="D60" s="246">
        <f>IFERROR(VLOOKUP(B60,'Mandatory Training'!A:C,3,FALSE),0)</f>
        <v>0.90476190476190477</v>
      </c>
      <c r="E60" s="24">
        <f>IFERROR(VLOOKUP(B60,'Previous Dashboard'!B:CR,3,FALSE),0)</f>
        <v>0.85</v>
      </c>
      <c r="F60" s="63">
        <f>IF(D60&gt;=Benchmark!C$4,1,0)</f>
        <v>1</v>
      </c>
      <c r="G60" s="17">
        <f>IFERROR(VLOOKUP(B60,Appraisals!A:C,3,FALSE),0)</f>
        <v>0.66666666666666663</v>
      </c>
      <c r="H60" s="24">
        <f>IFERROR(VLOOKUP(B60,'Previous Dashboard'!B:CR,6,FALSE),0)</f>
        <v>0.70588235294117652</v>
      </c>
      <c r="I60" s="63">
        <f>IF(G60&gt;=Benchmark!E$4,1,0)</f>
        <v>0</v>
      </c>
      <c r="J60" s="59">
        <f t="shared" si="6"/>
        <v>0.7857142857142857</v>
      </c>
      <c r="K60" s="91">
        <f t="shared" si="7"/>
        <v>0.77794117647058825</v>
      </c>
      <c r="L60" s="63">
        <f>IF(J60&gt;=Benchmark!G$4,1,0)</f>
        <v>0</v>
      </c>
      <c r="M60" s="51">
        <f>IFERROR(VLOOKUP(B60,Stress!A:D,4,FALSE),"-")</f>
        <v>5.08171160265894E-2</v>
      </c>
      <c r="N60" s="60">
        <f>IFERROR(VLOOKUP(B60,'Previous Dashboard'!B:CR,12,FALSE),0)</f>
        <v>3.2689141840970899E-3</v>
      </c>
      <c r="O60" s="52">
        <f>IFERROR(VLOOKUP(B60,'Musculo Skeletal'!A:D,4,FALSE),"-")</f>
        <v>0</v>
      </c>
      <c r="P60" s="43">
        <f>IFERROR(VLOOKUP(B60,'Previous Dashboard'!B:CR,14,FALSE),0)</f>
        <v>0</v>
      </c>
      <c r="Q60" s="52">
        <f>IFERROR(VLOOKUP(B60,'All Sickness'!A:D,4,FALSE),"-")</f>
        <v>8.64995692365641E-2</v>
      </c>
      <c r="R60" s="43">
        <f>IFERROR(VLOOKUP(B60,'Previous Dashboard'!B:CR,16,FALSE),0)</f>
        <v>1.5527342374461199E-2</v>
      </c>
      <c r="S60" s="63">
        <f>IF(Q60&lt;=Benchmark!K$4,1,0)</f>
        <v>0</v>
      </c>
      <c r="T60" s="44">
        <f>IFERROR(VLOOKUP(B60,LT.ST!A:C,3,FALSE),"-")</f>
        <v>6.4957530920944709E-2</v>
      </c>
      <c r="U60" s="43">
        <f>IFERROR(VLOOKUP(B60,'Previous Dashboard'!B:CR,19,FALSE),0)</f>
        <v>0</v>
      </c>
      <c r="V60" s="42">
        <f>IFERROR(VLOOKUP(B60,Turnover!A:C,2,FALSE),0)</f>
        <v>4.7619047619047603E-2</v>
      </c>
      <c r="W60" s="60">
        <f>IFERROR(VLOOKUP(B60,'Previous Dashboard'!B:CR,21,FALSE),0)</f>
        <v>5.1282051282051301E-2</v>
      </c>
      <c r="X60" s="63">
        <f>IF(V60&lt;=Benchmark!N$4,1,0)</f>
        <v>1</v>
      </c>
      <c r="Y60" s="159">
        <f>IFERROR(VLOOKUP(B60,Leavers!A:I,6,FALSE),0)</f>
        <v>1</v>
      </c>
      <c r="Z60" s="247">
        <f t="shared" si="8"/>
        <v>1</v>
      </c>
      <c r="AA60" s="298">
        <f>IFERROR(VLOOKUP(B60,'Previous Dashboard'!B:CR,25,FALSE),0)</f>
        <v>2</v>
      </c>
      <c r="AB60" s="188">
        <f>IFERROR(VLOOKUP(VLOOKUP($B60,'Pulse Mapping'!$A:$C,3,FALSE),'Pulse Survey'!$A:$J,2,FALSE),0)</f>
        <v>0</v>
      </c>
      <c r="AC60" s="25">
        <f>IFERROR(VLOOKUP(B60,'Previous Dashboard'!B:CR,27,FALSE),0)</f>
        <v>1</v>
      </c>
      <c r="AD60" s="362">
        <f t="shared" si="9"/>
        <v>0</v>
      </c>
      <c r="AE60" s="388"/>
      <c r="AF60" s="515"/>
      <c r="AG60" s="515"/>
      <c r="AH60" s="113"/>
      <c r="AI60" s="89"/>
      <c r="AJ60" s="113"/>
      <c r="AK60" s="89"/>
      <c r="AL60" s="517"/>
      <c r="AM60" s="388"/>
      <c r="AN60" s="60" t="str">
        <f>IFERROR(VLOOKUP(VLOOKUP($B60,'Pulse Mapping'!$A:$C,3,FALSE),'Pulse Survey'!$A:$J,'Pulse Survey'!C$1,FALSE),0)</f>
        <v>-</v>
      </c>
      <c r="AO60" s="63" cm="1">
        <f t="array" ref="AO60">_xlfn.IFS(AN60 = "-",0,AN60 &gt;=Benchmark!R$4,1,AN60&lt;Benchmark!R$4,0)</f>
        <v>0</v>
      </c>
      <c r="AP60" s="43" t="str">
        <f>IFERROR(VLOOKUP(B60,'Previous Dashboard'!B:CR,39,FALSE),0)</f>
        <v>-</v>
      </c>
      <c r="AQ60" s="43" t="str">
        <f>IFERROR(VLOOKUP(VLOOKUP($B60,'Pulse Mapping'!$A:$C,3,FALSE),'Pulse Survey'!$A:$J,'Pulse Survey'!D$1,FALSE),0)</f>
        <v>-</v>
      </c>
      <c r="AR60" s="63" cm="1">
        <f t="array" ref="AR60">_xlfn.IFS(AQ60 = "-",0,AQ60 &gt;=Benchmark!T$4,1,AQ60&lt;Benchmark!T$4,0)</f>
        <v>0</v>
      </c>
      <c r="AS60" s="24" t="str">
        <f>IFERROR(VLOOKUP(B60,'Previous Dashboard'!B:CR,42,FALSE),0)</f>
        <v>-</v>
      </c>
      <c r="AT60" s="43" t="str">
        <f>IFERROR(VLOOKUP(VLOOKUP($B60,'Pulse Mapping'!$A:$C,3,FALSE),'Pulse Survey'!$A:$J,'Pulse Survey'!E$1,FALSE),0)</f>
        <v>-</v>
      </c>
      <c r="AU60" s="63" cm="1">
        <f t="array" ref="AU60">_xlfn.IFS(AT60 = "-",0,AT60 &gt;=Benchmark!V$4,1,AT60&lt;Benchmark!V$4,0)</f>
        <v>0</v>
      </c>
      <c r="AV60" s="24" t="str">
        <f>IFERROR(VLOOKUP(B60,'Previous Dashboard'!B:CR,45,FALSE),0)</f>
        <v>-</v>
      </c>
      <c r="AW60" s="43" t="str">
        <f>IFERROR(VLOOKUP(VLOOKUP($B60,'Pulse Mapping'!$A:$C,3,FALSE),'Pulse Survey'!$A:$J,'Pulse Survey'!F$1,FALSE),0)</f>
        <v>-</v>
      </c>
      <c r="AX60" s="63" cm="1">
        <f t="array" ref="AX60">_xlfn.IFS(AW60 = "-",0,AW60 &gt;=Benchmark!X$4,1,AW60&lt;Benchmark!X$4,0)</f>
        <v>0</v>
      </c>
      <c r="AY60" s="24" t="str">
        <f>IFERROR(VLOOKUP(B60,'Previous Dashboard'!B:CR,48,FALSE),0)</f>
        <v>-</v>
      </c>
      <c r="AZ60" s="43" t="str">
        <f>IFERROR(VLOOKUP(VLOOKUP($B60,'Pulse Mapping'!$A:$C,3,FALSE),'Pulse Survey'!$A:$J,'Pulse Survey'!G$1,FALSE),0)</f>
        <v>-</v>
      </c>
      <c r="BA60" s="63" cm="1">
        <f t="array" ref="BA60">_xlfn.IFS(AZ60 = "-",0,AZ60 &gt;=Benchmark!Z$4,1,AZ60&lt;Benchmark!Z$4,0)</f>
        <v>0</v>
      </c>
      <c r="BB60" s="24" t="str">
        <f>IFERROR(VLOOKUP(B60,'Previous Dashboard'!B:CR,51,FALSE),0)</f>
        <v>-</v>
      </c>
      <c r="BC60" s="43" t="str">
        <f>IFERROR(VLOOKUP(VLOOKUP($B60,'Pulse Mapping'!$A:$C,3,FALSE),'Pulse Survey'!$A:$J,'Pulse Survey'!H$1,FALSE),0)</f>
        <v>-</v>
      </c>
      <c r="BD60" s="63" cm="1">
        <f t="array" ref="BD60">_xlfn.IFS(BC60 = "-",0,BC60 &gt;=Benchmark!AB$4,1,BC60&lt;Benchmark!AB$4,0)</f>
        <v>0</v>
      </c>
      <c r="BE60" s="24" t="str">
        <f>IFERROR(VLOOKUP(B60,'Previous Dashboard'!B:CR,54,FALSE),0)</f>
        <v>-</v>
      </c>
      <c r="BF60" s="43" t="str">
        <f>IFERROR(VLOOKUP(VLOOKUP($B60,'Pulse Mapping'!$A:$C,3,FALSE),'Pulse Survey'!$A:$J,'Pulse Survey'!I$1,FALSE),0)</f>
        <v>-</v>
      </c>
      <c r="BG60" s="63" cm="1">
        <f t="array" ref="BG60">_xlfn.IFS(BF60 = "-",0,BF60 &gt;=Benchmark!AD$4,1,BF60&lt;Benchmark!AD$4,0)</f>
        <v>0</v>
      </c>
      <c r="BH60" s="91" t="str">
        <f>IFERROR(VLOOKUP(B60,'Previous Dashboard'!B:CR,57,FALSE),0)</f>
        <v>-</v>
      </c>
      <c r="BI60" s="44" t="str">
        <f>IFERROR(VLOOKUP(VLOOKUP($B60,'Pulse Mapping'!$A:$C,3,FALSE),'Pulse Survey'!$A:$J,'Pulse Survey'!J$1,FALSE),0)</f>
        <v>-</v>
      </c>
      <c r="BJ60" s="63" cm="1">
        <f t="array" ref="BJ60">_xlfn.IFS(BI60 = "-",0,BI60 &gt;=Benchmark!AF$4,1,BI60&lt;Benchmark!AF$4,0)</f>
        <v>0</v>
      </c>
      <c r="BK60" s="145" t="str">
        <f>IFERROR(VLOOKUP(B60,'Previous Dashboard'!B:CR,60,FALSE),0)</f>
        <v>-</v>
      </c>
      <c r="BL60" s="225"/>
      <c r="BM60" s="325">
        <f>IFERROR(VLOOKUP(B60,'Previous Dashboard'!B:CR,63,FALSE),0)</f>
        <v>0</v>
      </c>
      <c r="BN60" s="285">
        <f t="shared" si="11"/>
        <v>1</v>
      </c>
      <c r="BO60" s="190">
        <f>IFERROR(VLOOKUP(B60,'Previous Dashboard'!B:CR,65,FALSE),0)</f>
        <v>2</v>
      </c>
      <c r="BP60" s="25">
        <f>IFERROR(VLOOKUP(B60,'Previous Dashboard'!B:CR,66,FALSE),0)</f>
        <v>3</v>
      </c>
      <c r="BQ60" s="288">
        <f>IFERROR(VLOOKUP(B60,'Previous Dashboard'!B:CR,67,FALSE),0)</f>
        <v>2</v>
      </c>
      <c r="BR60" s="99"/>
      <c r="BS60" s="405"/>
      <c r="BT60" s="401" t="s">
        <v>389</v>
      </c>
      <c r="BU60" s="89"/>
      <c r="BV60" s="399" t="s">
        <v>389</v>
      </c>
      <c r="BW60" s="404"/>
      <c r="BX60" s="402" t="s">
        <v>389</v>
      </c>
      <c r="BY60" s="404"/>
      <c r="BZ60" s="402" t="s">
        <v>389</v>
      </c>
      <c r="CA60" s="404"/>
      <c r="CB60" s="428" t="s">
        <v>389</v>
      </c>
      <c r="CC60" s="404"/>
      <c r="CD60" s="428" t="s">
        <v>389</v>
      </c>
      <c r="CE60" s="404"/>
      <c r="CF60" s="428" t="s">
        <v>389</v>
      </c>
      <c r="CG60" s="405"/>
      <c r="CH60" s="410"/>
      <c r="CI60" s="405"/>
      <c r="CJ60" s="114"/>
      <c r="CL60" s="119" t="str">
        <f>IFERROR(VLOOKUP(B60,'LfE . HR Ops . F2SU'!A:B,2,FALSE),0)</f>
        <v>-</v>
      </c>
      <c r="CM60" s="119" t="str">
        <f>IFERROR(VLOOKUP(B60,'Previous Dashboard'!B:CR,89,FALSE),0)</f>
        <v>-</v>
      </c>
      <c r="CN60" s="124"/>
      <c r="CO60" s="125"/>
      <c r="CP60" s="126"/>
      <c r="CQ60" s="126"/>
    </row>
    <row r="61" spans="1:95" x14ac:dyDescent="0.25">
      <c r="A61" s="651"/>
      <c r="B61" s="543" t="s">
        <v>40</v>
      </c>
      <c r="C61" s="310">
        <f>IFERROR(VLOOKUP(B61,'Staff In Post'!A:C,3,FALSE),0)</f>
        <v>109</v>
      </c>
      <c r="D61" s="246">
        <f>IFERROR(VLOOKUP(B61,'Mandatory Training'!A:C,3,FALSE),0)</f>
        <v>0.80612244897959184</v>
      </c>
      <c r="E61" s="24">
        <f>IFERROR(VLOOKUP(B61,'Previous Dashboard'!B:CR,3,FALSE),0)</f>
        <v>0.82524271844660191</v>
      </c>
      <c r="F61" s="63">
        <f>IF(D61&gt;=Benchmark!C$4,1,0)</f>
        <v>0</v>
      </c>
      <c r="G61" s="17">
        <f>IFERROR(VLOOKUP(B61,Appraisals!A:C,3,FALSE),0)</f>
        <v>0.8045977011494253</v>
      </c>
      <c r="H61" s="24">
        <f>IFERROR(VLOOKUP(B61,'Previous Dashboard'!B:CR,6,FALSE),0)</f>
        <v>0.67045454545454541</v>
      </c>
      <c r="I61" s="63">
        <f>IF(G61&gt;=Benchmark!E$4,1,0)</f>
        <v>0</v>
      </c>
      <c r="J61" s="59">
        <f t="shared" si="6"/>
        <v>0.80536007506450857</v>
      </c>
      <c r="K61" s="91">
        <f t="shared" si="7"/>
        <v>0.74784863195057372</v>
      </c>
      <c r="L61" s="63">
        <f>IF(J61&gt;=Benchmark!G$4,1,0)</f>
        <v>0</v>
      </c>
      <c r="M61" s="51">
        <f>IFERROR(VLOOKUP(B61,Stress!A:D,4,FALSE),"-")</f>
        <v>1.2892607839104101E-2</v>
      </c>
      <c r="N61" s="60">
        <f>IFERROR(VLOOKUP(B61,'Previous Dashboard'!B:CR,12,FALSE),0)</f>
        <v>4.4615224110073097E-3</v>
      </c>
      <c r="O61" s="52">
        <f>IFERROR(VLOOKUP(B61,'Musculo Skeletal'!A:D,4,FALSE),"-")</f>
        <v>7.9869003163288502E-3</v>
      </c>
      <c r="P61" s="43">
        <f>IFERROR(VLOOKUP(B61,'Previous Dashboard'!B:CR,14,FALSE),0)</f>
        <v>9.0080262012718904E-3</v>
      </c>
      <c r="Q61" s="52">
        <f>IFERROR(VLOOKUP(B61,'All Sickness'!A:D,4,FALSE),"-")</f>
        <v>6.4620173472344E-2</v>
      </c>
      <c r="R61" s="43">
        <f>IFERROR(VLOOKUP(B61,'Previous Dashboard'!B:CR,16,FALSE),0)</f>
        <v>4.8038555567375199E-2</v>
      </c>
      <c r="S61" s="63">
        <f>IF(Q61&lt;=Benchmark!K$4,1,0)</f>
        <v>0</v>
      </c>
      <c r="T61" s="44">
        <f>IFERROR(VLOOKUP(B61,LT.ST!A:C,3,FALSE),"-")</f>
        <v>3.18481845898579E-2</v>
      </c>
      <c r="U61" s="43">
        <f>IFERROR(VLOOKUP(B61,'Previous Dashboard'!B:CR,19,FALSE),0)</f>
        <v>4.1428422387925004E-3</v>
      </c>
      <c r="V61" s="42">
        <f>IFERROR(VLOOKUP(B61,Turnover!A:C,2,FALSE),0)</f>
        <v>8.4507042253521097E-2</v>
      </c>
      <c r="W61" s="60">
        <f>IFERROR(VLOOKUP(B61,'Previous Dashboard'!B:CR,21,FALSE),0)</f>
        <v>2.7906976744186001E-2</v>
      </c>
      <c r="X61" s="63">
        <f>IF(V61&lt;=Benchmark!N$4,1,0)</f>
        <v>1</v>
      </c>
      <c r="Y61" s="159">
        <f>IFERROR(VLOOKUP(B61,Leavers!A:I,6,FALSE),0)</f>
        <v>9</v>
      </c>
      <c r="Z61" s="247">
        <f t="shared" si="8"/>
        <v>1</v>
      </c>
      <c r="AA61" s="298">
        <f>IFERROR(VLOOKUP(B61,'Previous Dashboard'!B:CR,25,FALSE),0)</f>
        <v>1</v>
      </c>
      <c r="AB61" s="188">
        <f>IFERROR(VLOOKUP(VLOOKUP($B61,'Pulse Mapping'!$A:$C,3,FALSE),'Pulse Survey'!$A:$J,2,FALSE),0)</f>
        <v>27</v>
      </c>
      <c r="AC61" s="25">
        <f>IFERROR(VLOOKUP(B61,'Previous Dashboard'!B:CR,27,FALSE),0)</f>
        <v>23</v>
      </c>
      <c r="AD61" s="362">
        <f t="shared" si="9"/>
        <v>0.24770642201834864</v>
      </c>
      <c r="AE61" s="408">
        <f>IFERROR(VLOOKUP(B61,'Staff Engagement'!A:E,5,FALSE),0)</f>
        <v>6.4300411522633754</v>
      </c>
      <c r="AF61" s="409">
        <f>IFERROR(VLOOKUP(B61,'Previous Dashboard'!B:CQ,30,FALSE),0)</f>
        <v>6.8599033816425115</v>
      </c>
      <c r="AG61" s="112">
        <f>IFERROR(VLOOKUP(B61,'Staff Engagement'!A:E,2,FALSE),0)</f>
        <v>6.8518518518518521</v>
      </c>
      <c r="AH61" s="409">
        <f>IFERROR(VLOOKUP(B61,'Previous Dashboard'!B:CQ,32,FALSE),0)</f>
        <v>7.13768115942029</v>
      </c>
      <c r="AI61" s="110">
        <f>IFERROR(VLOOKUP(B61,'Staff Engagement'!A:E,3,FALSE),0)</f>
        <v>6.3271604938271606</v>
      </c>
      <c r="AJ61" s="409">
        <f>IFERROR(VLOOKUP(B61,'Previous Dashboard'!B:CQ,34,FALSE),0)</f>
        <v>6.6304347826086953</v>
      </c>
      <c r="AK61" s="112">
        <f>IFERROR(VLOOKUP(B61,'Staff Engagement'!A:E,4,FALSE),0)</f>
        <v>6.1111111111111107</v>
      </c>
      <c r="AL61" s="271">
        <f>IFERROR(VLOOKUP(B61,'Previous Dashboard'!B:CQ,36,FALSE),0)</f>
        <v>6.8115942028985508</v>
      </c>
      <c r="AM61" s="388"/>
      <c r="AN61" s="60">
        <f>IFERROR(VLOOKUP(VLOOKUP($B61,'Pulse Mapping'!$A:$C,3,FALSE),'Pulse Survey'!$A:$J,'Pulse Survey'!C$1,FALSE),0)</f>
        <v>0.55555555555555558</v>
      </c>
      <c r="AO61" s="63" cm="1">
        <f t="array" ref="AO61">_xlfn.IFS(AN61 = "-",0,AN61 &gt;=Benchmark!R$4,1,AN61&lt;Benchmark!R$4,0)</f>
        <v>0</v>
      </c>
      <c r="AP61" s="43">
        <f>IFERROR(VLOOKUP(B61,'Previous Dashboard'!B:CR,39,FALSE),0)</f>
        <v>0.69565217391304346</v>
      </c>
      <c r="AQ61" s="43">
        <f>IFERROR(VLOOKUP(VLOOKUP($B61,'Pulse Mapping'!$A:$C,3,FALSE),'Pulse Survey'!$A:$J,'Pulse Survey'!D$1,FALSE),0)</f>
        <v>0.62962962962962954</v>
      </c>
      <c r="AR61" s="63" cm="1">
        <f t="array" ref="AR61">_xlfn.IFS(AQ61 = "-",0,AQ61 &gt;=Benchmark!T$4,1,AQ61&lt;Benchmark!T$4,0)</f>
        <v>0</v>
      </c>
      <c r="AS61" s="24">
        <f>IFERROR(VLOOKUP(B61,'Previous Dashboard'!B:CR,42,FALSE),0)</f>
        <v>0.65217391304347827</v>
      </c>
      <c r="AT61" s="43">
        <f>IFERROR(VLOOKUP(VLOOKUP($B61,'Pulse Mapping'!$A:$C,3,FALSE),'Pulse Survey'!$A:$J,'Pulse Survey'!E$1,FALSE),0)</f>
        <v>0.62962962962962954</v>
      </c>
      <c r="AU61" s="63" cm="1">
        <f t="array" ref="AU61">_xlfn.IFS(AT61 = "-",0,AT61 &gt;=Benchmark!V$4,1,AT61&lt;Benchmark!V$4,0)</f>
        <v>0</v>
      </c>
      <c r="AV61" s="24">
        <f>IFERROR(VLOOKUP(B61,'Previous Dashboard'!B:CR,45,FALSE),0)</f>
        <v>0.56521739130434778</v>
      </c>
      <c r="AW61" s="43">
        <f>IFERROR(VLOOKUP(VLOOKUP($B61,'Pulse Mapping'!$A:$C,3,FALSE),'Pulse Survey'!$A:$J,'Pulse Survey'!F$1,FALSE),0)</f>
        <v>0.51851851851851849</v>
      </c>
      <c r="AX61" s="63" cm="1">
        <f t="array" ref="AX61">_xlfn.IFS(AW61 = "-",0,AW61 &gt;=Benchmark!X$4,1,AW61&lt;Benchmark!X$4,0)</f>
        <v>0</v>
      </c>
      <c r="AY61" s="24">
        <f>IFERROR(VLOOKUP(B61,'Previous Dashboard'!B:CR,48,FALSE),0)</f>
        <v>0.65217391304347827</v>
      </c>
      <c r="AZ61" s="43">
        <f>IFERROR(VLOOKUP(VLOOKUP($B61,'Pulse Mapping'!$A:$C,3,FALSE),'Pulse Survey'!$A:$J,'Pulse Survey'!G$1,FALSE),0)</f>
        <v>0.62962962962962965</v>
      </c>
      <c r="BA61" s="63" cm="1">
        <f t="array" ref="BA61">_xlfn.IFS(AZ61 = "-",0,AZ61 &gt;=Benchmark!Z$4,1,AZ61&lt;Benchmark!Z$4,0)</f>
        <v>0</v>
      </c>
      <c r="BB61" s="24">
        <f>IFERROR(VLOOKUP(B61,'Previous Dashboard'!B:CR,51,FALSE),0)</f>
        <v>0.65217391304347827</v>
      </c>
      <c r="BC61" s="43">
        <f>IFERROR(VLOOKUP(VLOOKUP($B61,'Pulse Mapping'!$A:$C,3,FALSE),'Pulse Survey'!$A:$J,'Pulse Survey'!H$1,FALSE),0)</f>
        <v>0.51851851851851849</v>
      </c>
      <c r="BD61" s="63" cm="1">
        <f t="array" ref="BD61">_xlfn.IFS(BC61 = "-",0,BC61 &gt;=Benchmark!AB$4,1,BC61&lt;Benchmark!AB$4,0)</f>
        <v>0</v>
      </c>
      <c r="BE61" s="24">
        <f>IFERROR(VLOOKUP(B61,'Previous Dashboard'!B:CR,54,FALSE),0)</f>
        <v>0.65217391304347827</v>
      </c>
      <c r="BF61" s="43">
        <f>IFERROR(VLOOKUP(VLOOKUP($B61,'Pulse Mapping'!$A:$C,3,FALSE),'Pulse Survey'!$A:$J,'Pulse Survey'!I$1,FALSE),0)</f>
        <v>0.59259259259259256</v>
      </c>
      <c r="BG61" s="63" cm="1">
        <f t="array" ref="BG61">_xlfn.IFS(BF61 = "-",0,BF61 &gt;=Benchmark!AD$4,1,BF61&lt;Benchmark!AD$4,0)</f>
        <v>0</v>
      </c>
      <c r="BH61" s="91">
        <f>IFERROR(VLOOKUP(B61,'Previous Dashboard'!B:CR,57,FALSE),0)</f>
        <v>0.65217391304347827</v>
      </c>
      <c r="BI61" s="44">
        <f>IFERROR(VLOOKUP(VLOOKUP($B61,'Pulse Mapping'!$A:$C,3,FALSE),'Pulse Survey'!$A:$J,'Pulse Survey'!J$1,FALSE),0)</f>
        <v>0.44444444444444442</v>
      </c>
      <c r="BJ61" s="63" cm="1">
        <f t="array" ref="BJ61">_xlfn.IFS(BI61 = "-",0,BI61 &gt;=Benchmark!AF$4,1,BI61&lt;Benchmark!AF$4,0)</f>
        <v>0</v>
      </c>
      <c r="BK61" s="145">
        <f>IFERROR(VLOOKUP(B61,'Previous Dashboard'!B:CR,60,FALSE),0)</f>
        <v>0.65217391304347827</v>
      </c>
      <c r="BL61" s="224">
        <f t="shared" si="10"/>
        <v>0</v>
      </c>
      <c r="BM61" s="325">
        <f>IFERROR(VLOOKUP(B61,'Previous Dashboard'!B:CR,63,FALSE),0)</f>
        <v>1</v>
      </c>
      <c r="BN61" s="285">
        <f t="shared" si="11"/>
        <v>1</v>
      </c>
      <c r="BO61" s="190">
        <f>IFERROR(VLOOKUP(B61,'Previous Dashboard'!B:CR,65,FALSE),0)</f>
        <v>2</v>
      </c>
      <c r="BP61" s="25">
        <f>IFERROR(VLOOKUP(B61,'Previous Dashboard'!B:CR,66,FALSE),0)</f>
        <v>1</v>
      </c>
      <c r="BQ61" s="288">
        <f>IFERROR(VLOOKUP(B61,'Previous Dashboard'!B:CR,67,FALSE),0)</f>
        <v>3</v>
      </c>
      <c r="BR61" s="99"/>
      <c r="BS61" s="403">
        <f>IFERROR(VLOOKUP(B61,'Staff Survey'!B:L,3,FALSE),"-")</f>
        <v>7.3</v>
      </c>
      <c r="BT61" s="401" t="s">
        <v>389</v>
      </c>
      <c r="BU61" s="136">
        <f>IFERROR(VLOOKUP(B61,'Staff Survey'!B:L,4,FALSE),"-")</f>
        <v>6.2</v>
      </c>
      <c r="BV61" s="399" t="s">
        <v>389</v>
      </c>
      <c r="BW61" s="403">
        <f>IFERROR(VLOOKUP(B61,'Staff Survey'!B:L,5,FALSE),"-")</f>
        <v>6.7</v>
      </c>
      <c r="BX61" s="402" t="s">
        <v>389</v>
      </c>
      <c r="BY61" s="403">
        <f>IFERROR(VLOOKUP(B61,'Staff Survey'!B:L,6,FALSE),"-")</f>
        <v>5.9</v>
      </c>
      <c r="BZ61" s="402" t="s">
        <v>389</v>
      </c>
      <c r="CA61" s="403">
        <f>IFERROR(VLOOKUP(B61,'Staff Survey'!B:L,7,FALSE),"-")</f>
        <v>5.4</v>
      </c>
      <c r="CB61" s="428" t="s">
        <v>389</v>
      </c>
      <c r="CC61" s="403">
        <f>IFERROR(VLOOKUP(B61,'Staff Survey'!B:L,8,FALSE),"-")</f>
        <v>5.9</v>
      </c>
      <c r="CD61" s="428" t="s">
        <v>389</v>
      </c>
      <c r="CE61" s="403">
        <f>IFERROR(VLOOKUP(B61,'Staff Survey'!B:L,9,FALSE),"-")</f>
        <v>6.9</v>
      </c>
      <c r="CF61" s="428" t="s">
        <v>389</v>
      </c>
      <c r="CG61" s="140">
        <f>IFERROR(VLOOKUP(B61,'Staff Survey'!B:L,10,FALSE),"-")</f>
        <v>6.9</v>
      </c>
      <c r="CH61" s="277">
        <v>6.3</v>
      </c>
      <c r="CI61" s="412">
        <f>IFERROR(VLOOKUP(B61,'Staff Survey'!B:L,11,FALSE),"-")</f>
        <v>5.8</v>
      </c>
      <c r="CJ61" s="111">
        <v>5.0999999999999996</v>
      </c>
      <c r="CL61" s="119">
        <f>IFERROR(VLOOKUP(B61,'LfE . HR Ops . F2SU'!A:B,2,FALSE),0)</f>
        <v>6</v>
      </c>
      <c r="CM61" s="119">
        <f>IFERROR(VLOOKUP(B61,'Previous Dashboard'!B:CR,89,FALSE),0)</f>
        <v>12</v>
      </c>
      <c r="CN61" s="124"/>
      <c r="CO61" s="125"/>
      <c r="CP61" s="126"/>
      <c r="CQ61" s="126"/>
    </row>
    <row r="62" spans="1:95" ht="15.75" thickBot="1" x14ac:dyDescent="0.3">
      <c r="A62" s="652"/>
      <c r="B62" s="546" t="s">
        <v>60</v>
      </c>
      <c r="C62" s="315">
        <f>IFERROR(VLOOKUP(B62,'Staff In Post'!A:C,3,FALSE),0)</f>
        <v>19</v>
      </c>
      <c r="D62" s="248">
        <f>IFERROR(VLOOKUP(B62,'Mandatory Training'!A:C,3,FALSE),0)</f>
        <v>0.66666666666666663</v>
      </c>
      <c r="E62" s="24">
        <f>IFERROR(VLOOKUP(B62,'Previous Dashboard'!B:CR,3,FALSE),0)</f>
        <v>0.61538461538461542</v>
      </c>
      <c r="F62" s="92">
        <f>IF(D62&gt;=Benchmark!C$4,1,0)</f>
        <v>0</v>
      </c>
      <c r="G62" s="35">
        <f>IFERROR(VLOOKUP(B62,Appraisals!A:C,3,FALSE),0)</f>
        <v>0.125</v>
      </c>
      <c r="H62" s="24">
        <f>IFERROR(VLOOKUP(B62,'Previous Dashboard'!B:CR,6,FALSE),0)</f>
        <v>8.3333333333333329E-2</v>
      </c>
      <c r="I62" s="92">
        <f>IF(G62&gt;=Benchmark!E$4,1,0)</f>
        <v>0</v>
      </c>
      <c r="J62" s="93">
        <f t="shared" si="6"/>
        <v>0.39583333333333331</v>
      </c>
      <c r="K62" s="94">
        <f t="shared" si="7"/>
        <v>0.34935897435897439</v>
      </c>
      <c r="L62" s="92">
        <f>IF(J62&gt;=Benchmark!G$4,1,0)</f>
        <v>0</v>
      </c>
      <c r="M62" s="53">
        <f>IFERROR(VLOOKUP(B62,Stress!A:D,4,FALSE),"-")</f>
        <v>0</v>
      </c>
      <c r="N62" s="60">
        <f>IFERROR(VLOOKUP(B62,'Previous Dashboard'!B:CR,12,FALSE),0)</f>
        <v>0</v>
      </c>
      <c r="O62" s="54">
        <f>IFERROR(VLOOKUP(B62,'Musculo Skeletal'!A:D,4,FALSE),"-")</f>
        <v>0</v>
      </c>
      <c r="P62" s="43">
        <f>IFERROR(VLOOKUP(B62,'Previous Dashboard'!B:CR,14,FALSE),0)</f>
        <v>0</v>
      </c>
      <c r="Q62" s="54">
        <f>IFERROR(VLOOKUP(B62,'All Sickness'!A:D,4,FALSE),"-")</f>
        <v>3.25717439503821E-2</v>
      </c>
      <c r="R62" s="43">
        <f>IFERROR(VLOOKUP(B62,'Previous Dashboard'!B:CR,16,FALSE),0)</f>
        <v>2.6565346967773001E-2</v>
      </c>
      <c r="S62" s="92">
        <f>IF(Q62&lt;=Benchmark!K$4,1,0)</f>
        <v>1</v>
      </c>
      <c r="T62" s="281">
        <f>IFERROR(VLOOKUP(B62,LT.ST!A:C,3,FALSE),"-")</f>
        <v>1.24341782410531E-2</v>
      </c>
      <c r="U62" s="43">
        <f>IFERROR(VLOOKUP(B62,'Previous Dashboard'!B:CR,19,FALSE),0)</f>
        <v>0</v>
      </c>
      <c r="V62" s="53">
        <f>IFERROR(VLOOKUP(B62,Turnover!A:C,2,FALSE),0)</f>
        <v>0.18181818181818199</v>
      </c>
      <c r="W62" s="60">
        <f>IFERROR(VLOOKUP(B62,'Previous Dashboard'!B:CR,21,FALSE),0)</f>
        <v>0</v>
      </c>
      <c r="X62" s="92">
        <f>IF(V62&lt;=Benchmark!N$4,1,0)</f>
        <v>0</v>
      </c>
      <c r="Y62" s="282">
        <f>IFERROR(VLOOKUP(B62,Leavers!A:I,6,FALSE),0)</f>
        <v>1</v>
      </c>
      <c r="Z62" s="95">
        <f t="shared" si="8"/>
        <v>1</v>
      </c>
      <c r="AA62" s="298">
        <f>IFERROR(VLOOKUP(B62,'Previous Dashboard'!B:CR,25,FALSE),0)</f>
        <v>2</v>
      </c>
      <c r="AB62" s="189">
        <f>IFERROR(VLOOKUP(VLOOKUP($B62,'Pulse Mapping'!$A:$C,3,FALSE),'Pulse Survey'!$A:$J,2,FALSE),0)</f>
        <v>60</v>
      </c>
      <c r="AC62" s="25">
        <f>IFERROR(VLOOKUP(B62,'Previous Dashboard'!B:CR,27,FALSE),0)</f>
        <v>56</v>
      </c>
      <c r="AD62" s="363">
        <f t="shared" si="9"/>
        <v>3.1578947368421053</v>
      </c>
      <c r="AE62" s="520">
        <f>IFERROR(VLOOKUP(B62,'Staff Engagement'!A:E,5,FALSE),0)</f>
        <v>6.4398148148148149</v>
      </c>
      <c r="AF62" s="409">
        <f>IFERROR(VLOOKUP(B62,'Previous Dashboard'!B:CQ,30,FALSE),0)</f>
        <v>6.7757936507936503</v>
      </c>
      <c r="AG62" s="481">
        <f>IFERROR(VLOOKUP(B62,'Staff Engagement'!A:E,2,FALSE),0)</f>
        <v>6.0972222222222223</v>
      </c>
      <c r="AH62" s="516">
        <f>IFERROR(VLOOKUP(B62,'Previous Dashboard'!B:CQ,32,FALSE),0)</f>
        <v>6.8154761904761907</v>
      </c>
      <c r="AI62" s="521">
        <f>IFERROR(VLOOKUP(B62,'Staff Engagement'!A:E,3,FALSE),0)</f>
        <v>6.166666666666667</v>
      </c>
      <c r="AJ62" s="516">
        <f>IFERROR(VLOOKUP(B62,'Previous Dashboard'!B:CQ,34,FALSE),0)</f>
        <v>6.354166666666667</v>
      </c>
      <c r="AK62" s="481">
        <f>IFERROR(VLOOKUP(B62,'Staff Engagement'!A:E,4,FALSE),0)</f>
        <v>7.0555555555555554</v>
      </c>
      <c r="AL62" s="378">
        <f>IFERROR(VLOOKUP(B62,'Previous Dashboard'!B:CQ,36,FALSE),0)</f>
        <v>7.1577380952380949</v>
      </c>
      <c r="AM62" s="389"/>
      <c r="AN62" s="60">
        <f>IFERROR(VLOOKUP(VLOOKUP($B62,'Pulse Mapping'!$A:$C,3,FALSE),'Pulse Survey'!$A:$J,'Pulse Survey'!C$1,FALSE),0)</f>
        <v>0.55000000000000004</v>
      </c>
      <c r="AO62" s="63" cm="1">
        <f t="array" ref="AO62">_xlfn.IFS(AN62 = "-",0,AN62 &gt;=Benchmark!R$4,1,AN62&lt;Benchmark!R$4,0)</f>
        <v>0</v>
      </c>
      <c r="AP62" s="43">
        <f>IFERROR(VLOOKUP(B62,'Previous Dashboard'!B:CR,39,FALSE),0)</f>
        <v>0.6964285714285714</v>
      </c>
      <c r="AQ62" s="60">
        <f>IFERROR(VLOOKUP(VLOOKUP($B62,'Pulse Mapping'!$A:$C,3,FALSE),'Pulse Survey'!$A:$J,'Pulse Survey'!D$1,FALSE),0)</f>
        <v>0.55000000000000004</v>
      </c>
      <c r="AR62" s="63" cm="1">
        <f t="array" ref="AR62">_xlfn.IFS(AQ62 = "-",0,AQ62 &gt;=Benchmark!T$4,1,AQ62&lt;Benchmark!T$4,0)</f>
        <v>0</v>
      </c>
      <c r="AS62" s="24">
        <f>IFERROR(VLOOKUP(B62,'Previous Dashboard'!B:CR,42,FALSE),0)</f>
        <v>0.5714285714285714</v>
      </c>
      <c r="AT62" s="43">
        <f>IFERROR(VLOOKUP(VLOOKUP($B62,'Pulse Mapping'!$A:$C,3,FALSE),'Pulse Survey'!$A:$J,'Pulse Survey'!E$1,FALSE),0)</f>
        <v>0.53333333333333333</v>
      </c>
      <c r="AU62" s="63" cm="1">
        <f t="array" ref="AU62">_xlfn.IFS(AT62 = "-",0,AT62 &gt;=Benchmark!V$4,1,AT62&lt;Benchmark!V$4,0)</f>
        <v>0</v>
      </c>
      <c r="AV62" s="24">
        <f>IFERROR(VLOOKUP(B62,'Previous Dashboard'!B:CR,45,FALSE),0)</f>
        <v>0.5535714285714286</v>
      </c>
      <c r="AW62" s="43">
        <f>IFERROR(VLOOKUP(VLOOKUP($B62,'Pulse Mapping'!$A:$C,3,FALSE),'Pulse Survey'!$A:$J,'Pulse Survey'!F$1,FALSE),0)</f>
        <v>0.58333333333333337</v>
      </c>
      <c r="AX62" s="63" cm="1">
        <f t="array" ref="AX62">_xlfn.IFS(AW62 = "-",0,AW62 &gt;=Benchmark!X$4,1,AW62&lt;Benchmark!X$4,0)</f>
        <v>0</v>
      </c>
      <c r="AY62" s="24">
        <f>IFERROR(VLOOKUP(B62,'Previous Dashboard'!B:CR,48,FALSE),0)</f>
        <v>0.6785714285714286</v>
      </c>
      <c r="AZ62" s="43">
        <f>IFERROR(VLOOKUP(VLOOKUP($B62,'Pulse Mapping'!$A:$C,3,FALSE),'Pulse Survey'!$A:$J,'Pulse Survey'!G$1,FALSE),0)</f>
        <v>0.6333333333333333</v>
      </c>
      <c r="BA62" s="63" cm="1">
        <f t="array" ref="BA62">_xlfn.IFS(AZ62 = "-",0,AZ62 &gt;=Benchmark!Z$4,1,AZ62&lt;Benchmark!Z$4,0)</f>
        <v>0</v>
      </c>
      <c r="BB62" s="24">
        <f>IFERROR(VLOOKUP(B62,'Previous Dashboard'!B:CR,51,FALSE),0)</f>
        <v>0.6964285714285714</v>
      </c>
      <c r="BC62" s="43">
        <f>IFERROR(VLOOKUP(VLOOKUP($B62,'Pulse Mapping'!$A:$C,3,FALSE),'Pulse Survey'!$A:$J,'Pulse Survey'!H$1,FALSE),0)</f>
        <v>0.6</v>
      </c>
      <c r="BD62" s="63" cm="1">
        <f t="array" ref="BD62">_xlfn.IFS(BC62 = "-",0,BC62 &gt;=Benchmark!AB$4,1,BC62&lt;Benchmark!AB$4,0)</f>
        <v>0</v>
      </c>
      <c r="BE62" s="24">
        <f>IFERROR(VLOOKUP(B62,'Previous Dashboard'!B:CR,54,FALSE),0)</f>
        <v>0.625</v>
      </c>
      <c r="BF62" s="43">
        <f>IFERROR(VLOOKUP(VLOOKUP($B62,'Pulse Mapping'!$A:$C,3,FALSE),'Pulse Survey'!$A:$J,'Pulse Survey'!I$1,FALSE),0)</f>
        <v>0.66666666666666674</v>
      </c>
      <c r="BG62" s="63" cm="1">
        <f t="array" ref="BG62">_xlfn.IFS(BF62 = "-",0,BF62 &gt;=Benchmark!AD$4,1,BF62&lt;Benchmark!AD$4,0)</f>
        <v>0</v>
      </c>
      <c r="BH62" s="91">
        <f>IFERROR(VLOOKUP(B62,'Previous Dashboard'!B:CR,57,FALSE),0)</f>
        <v>0.6607142857142857</v>
      </c>
      <c r="BI62" s="44">
        <f>IFERROR(VLOOKUP(VLOOKUP($B62,'Pulse Mapping'!$A:$C,3,FALSE),'Pulse Survey'!$A:$J,'Pulse Survey'!J$1,FALSE),0)</f>
        <v>0.5</v>
      </c>
      <c r="BJ62" s="63" cm="1">
        <f t="array" ref="BJ62">_xlfn.IFS(BI62 = "-",0,BI62 &gt;=Benchmark!AF$4,1,BI62&lt;Benchmark!AF$4,0)</f>
        <v>0</v>
      </c>
      <c r="BK62" s="145">
        <f>IFERROR(VLOOKUP(B62,'Previous Dashboard'!B:CR,60,FALSE),0)</f>
        <v>0.5892857142857143</v>
      </c>
      <c r="BL62" s="224">
        <f t="shared" si="10"/>
        <v>0</v>
      </c>
      <c r="BM62" s="325">
        <f>IFERROR(VLOOKUP(B62,'Previous Dashboard'!B:CR,63,FALSE),0)</f>
        <v>3</v>
      </c>
      <c r="BN62" s="286">
        <f t="shared" si="11"/>
        <v>1</v>
      </c>
      <c r="BO62" s="192">
        <f>IFERROR(VLOOKUP(B62,'Previous Dashboard'!B:CR,65,FALSE),0)</f>
        <v>5</v>
      </c>
      <c r="BP62" s="292">
        <f>IFERROR(VLOOKUP(B62,'Previous Dashboard'!B:CR,66,FALSE),0)</f>
        <v>6</v>
      </c>
      <c r="BQ62" s="290">
        <f>IFERROR(VLOOKUP(B62,'Previous Dashboard'!B:CR,67,FALSE),0)</f>
        <v>2</v>
      </c>
      <c r="BR62" s="99"/>
      <c r="BS62" s="406"/>
      <c r="BT62" s="415" t="s">
        <v>389</v>
      </c>
      <c r="BU62" s="276"/>
      <c r="BV62" s="425" t="s">
        <v>389</v>
      </c>
      <c r="BW62" s="406"/>
      <c r="BX62" s="427" t="s">
        <v>389</v>
      </c>
      <c r="BY62" s="406"/>
      <c r="BZ62" s="427" t="s">
        <v>389</v>
      </c>
      <c r="CA62" s="406"/>
      <c r="CB62" s="429" t="s">
        <v>389</v>
      </c>
      <c r="CC62" s="406"/>
      <c r="CD62" s="429" t="s">
        <v>389</v>
      </c>
      <c r="CE62" s="406"/>
      <c r="CF62" s="429" t="s">
        <v>389</v>
      </c>
      <c r="CG62" s="406"/>
      <c r="CH62" s="411"/>
      <c r="CI62" s="406"/>
      <c r="CJ62" s="416"/>
      <c r="CL62" s="119" t="str">
        <f>IFERROR(VLOOKUP(B62,'LfE . HR Ops . F2SU'!A:B,2,FALSE),0)</f>
        <v>-</v>
      </c>
      <c r="CM62" s="119" t="str">
        <f>IFERROR(VLOOKUP(B62,'Previous Dashboard'!B:CR,89,FALSE),0)</f>
        <v>-</v>
      </c>
      <c r="CN62" s="124"/>
      <c r="CO62" s="125"/>
      <c r="CP62" s="126"/>
      <c r="CQ62" s="126"/>
    </row>
    <row r="63" spans="1:95" x14ac:dyDescent="0.25">
      <c r="BS63" s="135"/>
      <c r="BT63" s="160"/>
      <c r="BU63" s="160"/>
      <c r="BV63" s="160"/>
      <c r="BW63" s="160"/>
      <c r="BX63" s="160"/>
      <c r="BY63" s="160"/>
      <c r="BZ63" s="160"/>
      <c r="CA63" s="160"/>
      <c r="CB63" s="160"/>
      <c r="CC63" s="160"/>
      <c r="CD63" s="160"/>
      <c r="CE63" s="160"/>
      <c r="CF63" s="160"/>
      <c r="CG63" s="160"/>
      <c r="CH63" s="160"/>
      <c r="CI63" s="160"/>
      <c r="CJ63" s="160"/>
    </row>
    <row r="64" spans="1:95" ht="15.75" thickBot="1" x14ac:dyDescent="0.3">
      <c r="BS64" s="135"/>
      <c r="BT64" s="160"/>
      <c r="BU64" s="160"/>
      <c r="BV64" s="160"/>
      <c r="BW64" s="160"/>
      <c r="BX64" s="160"/>
      <c r="BY64" s="160"/>
      <c r="BZ64" s="160"/>
      <c r="CA64" s="160"/>
      <c r="CB64" s="160"/>
      <c r="CC64" s="160"/>
      <c r="CD64" s="160"/>
      <c r="CE64" s="160"/>
      <c r="CF64" s="160"/>
      <c r="CG64" s="160"/>
      <c r="CH64" s="160"/>
      <c r="CI64" s="160"/>
      <c r="CJ64" s="160"/>
    </row>
    <row r="65" spans="2:95" ht="15.75" thickBot="1" x14ac:dyDescent="0.3">
      <c r="C65" s="437"/>
      <c r="D65" s="641" t="s">
        <v>306</v>
      </c>
      <c r="E65" s="642"/>
      <c r="F65" s="642"/>
      <c r="G65" s="642"/>
      <c r="H65" s="642"/>
      <c r="I65" s="642"/>
      <c r="J65" s="642"/>
      <c r="K65" s="642"/>
      <c r="L65" s="642"/>
      <c r="M65" s="642"/>
      <c r="N65" s="642"/>
      <c r="O65" s="642"/>
      <c r="P65" s="642"/>
      <c r="Q65" s="642"/>
      <c r="R65" s="642"/>
      <c r="S65" s="642"/>
      <c r="T65" s="642"/>
      <c r="U65" s="642"/>
      <c r="V65" s="642"/>
      <c r="W65" s="642"/>
      <c r="X65" s="642"/>
      <c r="Y65" s="642"/>
      <c r="Z65" s="643"/>
      <c r="AA65" s="547"/>
      <c r="AB65" s="644" t="s">
        <v>310</v>
      </c>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45"/>
      <c r="AZ65" s="645"/>
      <c r="BA65" s="645"/>
      <c r="BB65" s="645"/>
      <c r="BC65" s="645"/>
      <c r="BD65" s="645"/>
      <c r="BE65" s="645"/>
      <c r="BF65" s="645"/>
      <c r="BG65" s="645"/>
      <c r="BH65" s="645"/>
      <c r="BI65" s="645"/>
      <c r="BJ65" s="645"/>
      <c r="BK65" s="645"/>
      <c r="BL65" s="646"/>
      <c r="BM65" s="299"/>
      <c r="BS65" s="160"/>
      <c r="BT65" s="160"/>
      <c r="BU65" s="160"/>
      <c r="BV65" s="160"/>
      <c r="BW65" s="160"/>
      <c r="BX65" s="160"/>
      <c r="BY65" s="160"/>
      <c r="BZ65" s="160"/>
      <c r="CA65" s="160"/>
      <c r="CB65" s="160"/>
      <c r="CC65" s="160"/>
      <c r="CD65" s="160"/>
      <c r="CE65" s="160"/>
      <c r="CF65" s="160"/>
      <c r="CG65" s="160"/>
      <c r="CH65" s="160"/>
      <c r="CI65" s="160"/>
      <c r="CJ65" s="160"/>
    </row>
    <row r="66" spans="2:95" ht="14.25" customHeight="1" thickBot="1" x14ac:dyDescent="0.3">
      <c r="B66" s="18"/>
      <c r="C66" s="19"/>
      <c r="D66" s="236"/>
      <c r="E66" s="237"/>
      <c r="F66" s="238"/>
      <c r="G66" s="239"/>
      <c r="H66" s="239"/>
      <c r="I66" s="238"/>
      <c r="J66" s="239"/>
      <c r="K66" s="239"/>
      <c r="L66" s="238"/>
      <c r="M66" s="632" t="s">
        <v>181</v>
      </c>
      <c r="N66" s="633"/>
      <c r="O66" s="633"/>
      <c r="P66" s="633"/>
      <c r="Q66" s="633"/>
      <c r="R66" s="633"/>
      <c r="S66" s="633"/>
      <c r="T66" s="634"/>
      <c r="U66" s="548"/>
      <c r="V66" s="635" t="s">
        <v>183</v>
      </c>
      <c r="W66" s="636"/>
      <c r="X66" s="636"/>
      <c r="Y66" s="637"/>
      <c r="Z66" s="211"/>
      <c r="AA66" s="297"/>
      <c r="AB66" s="638" t="s">
        <v>308</v>
      </c>
      <c r="AC66" s="639"/>
      <c r="AD66" s="640"/>
      <c r="AE66" s="629" t="s">
        <v>353</v>
      </c>
      <c r="AF66" s="630"/>
      <c r="AG66" s="630"/>
      <c r="AH66" s="630"/>
      <c r="AI66" s="630"/>
      <c r="AJ66" s="630"/>
      <c r="AK66" s="631"/>
      <c r="AL66" s="551"/>
      <c r="AM66" s="384" t="s">
        <v>362</v>
      </c>
      <c r="AN66" s="635" t="s">
        <v>188</v>
      </c>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7"/>
      <c r="BM66" s="300"/>
      <c r="BN66" s="90"/>
      <c r="BO66" s="635" t="s">
        <v>219</v>
      </c>
      <c r="BP66" s="636"/>
      <c r="BQ66" s="637"/>
      <c r="BR66" s="100"/>
      <c r="BS66" s="626" t="s">
        <v>415</v>
      </c>
      <c r="BT66" s="627"/>
      <c r="BU66" s="627"/>
      <c r="BV66" s="627"/>
      <c r="BW66" s="627"/>
      <c r="BX66" s="627"/>
      <c r="BY66" s="627"/>
      <c r="BZ66" s="627"/>
      <c r="CA66" s="627"/>
      <c r="CB66" s="627"/>
      <c r="CC66" s="627"/>
      <c r="CD66" s="627"/>
      <c r="CE66" s="627"/>
      <c r="CF66" s="627"/>
      <c r="CG66" s="627"/>
      <c r="CH66" s="627"/>
      <c r="CI66" s="628"/>
      <c r="CJ66" s="549"/>
    </row>
    <row r="67" spans="2:95" ht="15" hidden="1" customHeight="1" thickBot="1" x14ac:dyDescent="0.3">
      <c r="D67" s="240"/>
      <c r="E67" s="241"/>
      <c r="F67" s="242"/>
      <c r="G67" s="97"/>
      <c r="H67" s="97"/>
      <c r="I67" s="242"/>
      <c r="J67" s="97"/>
      <c r="K67" s="97"/>
      <c r="L67" s="242"/>
      <c r="M67" s="46"/>
      <c r="N67" s="47"/>
      <c r="O67" s="47"/>
      <c r="P67" s="47"/>
      <c r="Q67" s="47"/>
      <c r="R67" s="47"/>
      <c r="S67" s="65"/>
      <c r="T67" s="48"/>
      <c r="U67" s="48"/>
      <c r="V67" s="49"/>
      <c r="W67" s="49"/>
      <c r="X67" s="67"/>
      <c r="Y67" s="195"/>
      <c r="Z67" s="67"/>
      <c r="AA67" s="195"/>
      <c r="AB67" s="12"/>
      <c r="AC67" s="12"/>
      <c r="AD67" s="46"/>
      <c r="AE67" s="46"/>
      <c r="AF67" s="46"/>
      <c r="AG67" s="46"/>
      <c r="AH67" s="46"/>
      <c r="AI67" s="46"/>
      <c r="AJ67" s="46"/>
      <c r="AK67" s="46"/>
      <c r="AL67" s="49"/>
      <c r="AM67" s="49"/>
      <c r="AN67" s="364"/>
      <c r="AO67" s="68"/>
      <c r="AP67" s="68"/>
      <c r="AQ67" s="39"/>
      <c r="AR67" s="69"/>
      <c r="AS67" s="69"/>
      <c r="AT67" s="39"/>
      <c r="AU67" s="69"/>
      <c r="AV67" s="69"/>
      <c r="AW67" s="39"/>
      <c r="AX67" s="69"/>
      <c r="AY67" s="69"/>
      <c r="AZ67" s="39"/>
      <c r="BA67" s="69"/>
      <c r="BB67" s="69"/>
      <c r="BC67" s="39"/>
      <c r="BD67" s="69"/>
      <c r="BE67" s="69"/>
      <c r="BF67" s="39"/>
      <c r="BG67" s="70"/>
      <c r="BH67" s="70"/>
      <c r="BI67" s="40"/>
      <c r="BJ67" s="65"/>
      <c r="BK67" s="65"/>
      <c r="BL67" s="104"/>
      <c r="BM67" s="301"/>
      <c r="BN67" s="13"/>
      <c r="BO67" s="184"/>
      <c r="BP67" s="148"/>
      <c r="BQ67" s="287"/>
      <c r="BR67" s="97"/>
      <c r="BS67" s="103"/>
      <c r="BT67" s="99"/>
      <c r="BU67" s="99"/>
      <c r="BV67" s="99"/>
      <c r="BW67" s="99"/>
      <c r="BX67" s="99"/>
      <c r="BY67" s="99"/>
      <c r="BZ67" s="99"/>
      <c r="CA67" s="99"/>
      <c r="CB67" s="99"/>
      <c r="CC67" s="99"/>
      <c r="CD67" s="99"/>
      <c r="CE67" s="99"/>
      <c r="CF67" s="99"/>
      <c r="CG67" s="99"/>
      <c r="CH67" s="99"/>
      <c r="CI67" s="104"/>
      <c r="CJ67" s="104"/>
    </row>
    <row r="68" spans="2:95" s="185" customFormat="1" ht="82.5" customHeight="1" thickBot="1" x14ac:dyDescent="0.3">
      <c r="B68" s="320" t="s">
        <v>207</v>
      </c>
      <c r="C68" s="102" t="s">
        <v>186</v>
      </c>
      <c r="D68" s="202" t="s">
        <v>198</v>
      </c>
      <c r="E68" s="459" t="s">
        <v>463</v>
      </c>
      <c r="F68" s="321" t="s">
        <v>227</v>
      </c>
      <c r="G68" s="322" t="s">
        <v>199</v>
      </c>
      <c r="H68" s="505" t="s">
        <v>464</v>
      </c>
      <c r="I68" s="204" t="s">
        <v>228</v>
      </c>
      <c r="J68" s="197" t="s">
        <v>257</v>
      </c>
      <c r="K68" s="506" t="s">
        <v>465</v>
      </c>
      <c r="L68" s="201" t="s">
        <v>229</v>
      </c>
      <c r="M68" s="202" t="s">
        <v>177</v>
      </c>
      <c r="N68" s="507" t="s">
        <v>466</v>
      </c>
      <c r="O68" s="203" t="s">
        <v>178</v>
      </c>
      <c r="P68" s="459" t="s">
        <v>467</v>
      </c>
      <c r="Q68" s="199" t="s">
        <v>258</v>
      </c>
      <c r="R68" s="459" t="s">
        <v>468</v>
      </c>
      <c r="S68" s="204" t="s">
        <v>230</v>
      </c>
      <c r="T68" s="206" t="s">
        <v>71</v>
      </c>
      <c r="U68" s="508" t="s">
        <v>469</v>
      </c>
      <c r="V68" s="199" t="s">
        <v>247</v>
      </c>
      <c r="W68" s="509" t="s">
        <v>503</v>
      </c>
      <c r="X68" s="323" t="s">
        <v>231</v>
      </c>
      <c r="Y68" s="264" t="s">
        <v>303</v>
      </c>
      <c r="Z68" s="243" t="s">
        <v>305</v>
      </c>
      <c r="AA68" s="448" t="s">
        <v>504</v>
      </c>
      <c r="AB68" s="390" t="s">
        <v>375</v>
      </c>
      <c r="AC68" s="510" t="s">
        <v>470</v>
      </c>
      <c r="AD68" s="210" t="s">
        <v>307</v>
      </c>
      <c r="AE68" s="353" t="s">
        <v>344</v>
      </c>
      <c r="AF68" s="353" t="s">
        <v>354</v>
      </c>
      <c r="AG68" s="353" t="s">
        <v>358</v>
      </c>
      <c r="AH68" s="353" t="s">
        <v>355</v>
      </c>
      <c r="AI68" s="353" t="s">
        <v>346</v>
      </c>
      <c r="AJ68" s="353" t="s">
        <v>356</v>
      </c>
      <c r="AK68" s="354" t="s">
        <v>347</v>
      </c>
      <c r="AL68" s="354" t="s">
        <v>357</v>
      </c>
      <c r="AM68" s="385" t="s">
        <v>374</v>
      </c>
      <c r="AN68" s="365" t="s">
        <v>414</v>
      </c>
      <c r="AO68" s="220" t="s">
        <v>232</v>
      </c>
      <c r="AP68" s="511" t="s">
        <v>471</v>
      </c>
      <c r="AQ68" s="355" t="s">
        <v>413</v>
      </c>
      <c r="AR68" s="213" t="s">
        <v>233</v>
      </c>
      <c r="AS68" s="512" t="s">
        <v>472</v>
      </c>
      <c r="AT68" s="214" t="s">
        <v>248</v>
      </c>
      <c r="AU68" s="221" t="s">
        <v>234</v>
      </c>
      <c r="AV68" s="513" t="s">
        <v>473</v>
      </c>
      <c r="AW68" s="214" t="s">
        <v>249</v>
      </c>
      <c r="AX68" s="221" t="s">
        <v>235</v>
      </c>
      <c r="AY68" s="513" t="s">
        <v>474</v>
      </c>
      <c r="AZ68" s="214" t="s">
        <v>250</v>
      </c>
      <c r="BA68" s="221" t="s">
        <v>236</v>
      </c>
      <c r="BB68" s="513" t="s">
        <v>475</v>
      </c>
      <c r="BC68" s="214" t="s">
        <v>251</v>
      </c>
      <c r="BD68" s="221" t="s">
        <v>237</v>
      </c>
      <c r="BE68" s="513" t="s">
        <v>476</v>
      </c>
      <c r="BF68" s="214" t="s">
        <v>252</v>
      </c>
      <c r="BG68" s="222" t="s">
        <v>238</v>
      </c>
      <c r="BH68" s="513" t="s">
        <v>477</v>
      </c>
      <c r="BI68" s="217" t="s">
        <v>253</v>
      </c>
      <c r="BJ68" s="218" t="s">
        <v>239</v>
      </c>
      <c r="BK68" s="514" t="s">
        <v>478</v>
      </c>
      <c r="BL68" s="219" t="s">
        <v>309</v>
      </c>
      <c r="BM68" s="324" t="s">
        <v>327</v>
      </c>
      <c r="BN68" s="284" t="s">
        <v>226</v>
      </c>
      <c r="BO68" s="467" t="s">
        <v>423</v>
      </c>
      <c r="BP68" s="467" t="s">
        <v>328</v>
      </c>
      <c r="BQ68" s="467" t="s">
        <v>304</v>
      </c>
      <c r="BR68" s="101"/>
      <c r="BS68" s="391" t="s">
        <v>377</v>
      </c>
      <c r="BT68" s="391" t="s">
        <v>376</v>
      </c>
      <c r="BU68" s="392" t="s">
        <v>379</v>
      </c>
      <c r="BV68" s="392" t="s">
        <v>378</v>
      </c>
      <c r="BW68" s="392" t="s">
        <v>381</v>
      </c>
      <c r="BX68" s="392" t="s">
        <v>380</v>
      </c>
      <c r="BY68" s="392" t="s">
        <v>416</v>
      </c>
      <c r="BZ68" s="392" t="s">
        <v>386</v>
      </c>
      <c r="CA68" s="392" t="s">
        <v>417</v>
      </c>
      <c r="CB68" s="392" t="s">
        <v>388</v>
      </c>
      <c r="CC68" s="392" t="s">
        <v>382</v>
      </c>
      <c r="CD68" s="392" t="s">
        <v>387</v>
      </c>
      <c r="CE68" s="392" t="s">
        <v>383</v>
      </c>
      <c r="CF68" s="392" t="s">
        <v>390</v>
      </c>
      <c r="CG68" s="392" t="s">
        <v>384</v>
      </c>
      <c r="CH68" s="392" t="s">
        <v>391</v>
      </c>
      <c r="CI68" s="393" t="s">
        <v>385</v>
      </c>
      <c r="CJ68" s="420" t="s">
        <v>392</v>
      </c>
      <c r="CL68" s="108" t="s">
        <v>254</v>
      </c>
      <c r="CM68" s="393" t="s">
        <v>459</v>
      </c>
      <c r="CN68" s="105" t="s">
        <v>255</v>
      </c>
      <c r="CO68" s="391" t="s">
        <v>460</v>
      </c>
      <c r="CP68" s="107" t="s">
        <v>256</v>
      </c>
      <c r="CQ68" s="469" t="s">
        <v>461</v>
      </c>
    </row>
    <row r="69" spans="2:95" x14ac:dyDescent="0.25">
      <c r="B69" s="252" t="s">
        <v>6</v>
      </c>
      <c r="C69" s="235">
        <f>IFERROR(VLOOKUP(B69,'Staff In Post'!A:C,3,FALSE),0)</f>
        <v>1495</v>
      </c>
      <c r="D69" s="244">
        <f>IFERROR(VLOOKUP(B69,'Mandatory Training'!A:C,3,FALSE),0)</f>
        <v>0.74792243767313016</v>
      </c>
      <c r="E69" s="24">
        <f>IFERROR(VLOOKUP(B69,'Previous Dashboard'!B:CR,3,FALSE),0)</f>
        <v>0.73270893371757928</v>
      </c>
      <c r="F69" s="63">
        <f>IF(D69&gt;=Benchmark!C$4,1,0)</f>
        <v>0</v>
      </c>
      <c r="G69" s="24">
        <f>IFERROR(VLOOKUP(B69,Appraisals!A:C,3,FALSE),0)</f>
        <v>0.89458955223880599</v>
      </c>
      <c r="H69" s="24">
        <f>IFERROR(VLOOKUP(B69,'Previous Dashboard'!B:CR,6,FALSE),0)</f>
        <v>0.89548022598870058</v>
      </c>
      <c r="I69" s="63">
        <f>IF(G69&gt;=Benchmark!E$4,1,0)</f>
        <v>0</v>
      </c>
      <c r="J69" s="59">
        <f>AVERAGE(D69,G69)</f>
        <v>0.82125599495596813</v>
      </c>
      <c r="K69" s="91">
        <f>AVERAGE(E69, H69)</f>
        <v>0.81409457985313993</v>
      </c>
      <c r="L69" s="63">
        <f>IF(J69&gt;=Benchmark!G$4,1,0)</f>
        <v>0</v>
      </c>
      <c r="M69" s="42">
        <f>IFERROR(VLOOKUP(B69,Stress!A:D,4,FALSE),"-")</f>
        <v>1.2872952824090801E-2</v>
      </c>
      <c r="N69" s="60">
        <f>IFERROR(VLOOKUP(B69,'Previous Dashboard'!B:CR,12,FALSE),0)</f>
        <v>1.1273519561081601E-2</v>
      </c>
      <c r="O69" s="43">
        <f>IFERROR(VLOOKUP(B69,'Musculo Skeletal'!A:D,4,FALSE),"-")</f>
        <v>6.8434680136398298E-3</v>
      </c>
      <c r="P69" s="43">
        <f>IFERROR(VLOOKUP(B69,'Previous Dashboard'!B:CR,14,FALSE),0)</f>
        <v>7.5220790709484399E-3</v>
      </c>
      <c r="Q69" s="43">
        <f>IFERROR(VLOOKUP(B69,'All Sickness'!A:D,4,FALSE),"-")</f>
        <v>5.4300819678475401E-2</v>
      </c>
      <c r="R69" s="43">
        <f>IFERROR(VLOOKUP(B69,'Previous Dashboard'!B:CR,16,FALSE),0)</f>
        <v>5.5904801849952203E-2</v>
      </c>
      <c r="S69" s="63">
        <f>IF(Q69&lt;=Benchmark!K$4,1,0)</f>
        <v>0</v>
      </c>
      <c r="T69" s="44">
        <f>IFERROR(VLOOKUP(B69,LT.ST!A:C,3,FALSE),"-")</f>
        <v>2.3677321317686004E-2</v>
      </c>
      <c r="U69" s="43">
        <f>IFERROR(VLOOKUP(B69,'Previous Dashboard'!B:CR,19,FALSE),0)</f>
        <v>2.3228538305356698E-2</v>
      </c>
      <c r="V69" s="42">
        <f>IFERROR(VLOOKUP(B69,Turnover!A:C,2,FALSE),0)</f>
        <v>4.1435442101368798E-2</v>
      </c>
      <c r="W69" s="60">
        <f>IFERROR(VLOOKUP(B69,'Previous Dashboard'!B:CR,21,FALSE),0)</f>
        <v>2.9739776951672899E-2</v>
      </c>
      <c r="X69" s="432">
        <f>IF(V69&lt;=Benchmark!N$4,1,0)</f>
        <v>1</v>
      </c>
      <c r="Y69" s="325">
        <f>IFERROR(VLOOKUP(B69,Leavers!A:I,6,FALSE),0)</f>
        <v>56</v>
      </c>
      <c r="Z69" s="434">
        <f t="shared" ref="Z69:Z73" si="22">SUM(L69, S69, X69)</f>
        <v>1</v>
      </c>
      <c r="AA69" s="298">
        <f>IFERROR(VLOOKUP(B69,'Previous Dashboard'!B:CR,25,FALSE),0)</f>
        <v>1</v>
      </c>
      <c r="AB69" s="190">
        <f>IFERROR(VLOOKUP(VLOOKUP($B69,'Pulse Mapping'!$A:$C,3,FALSE),'Pulse Survey'!$A:$J,2,FALSE),0)</f>
        <v>217</v>
      </c>
      <c r="AC69" s="25">
        <f>IFERROR(VLOOKUP(B69,'Previous Dashboard'!B:CR,27,FALSE),0)</f>
        <v>219</v>
      </c>
      <c r="AD69" s="43">
        <f t="shared" ref="AD69:AD73" si="23" xml:space="preserve"> AB69/C69</f>
        <v>0.14515050167224081</v>
      </c>
      <c r="AE69" s="403">
        <f>IFERROR(VLOOKUP(B69,'Staff Engagement'!A:E,5,FALSE),0)</f>
        <v>5.9280593958013315</v>
      </c>
      <c r="AF69" s="409">
        <f>IFERROR(VLOOKUP(B69,'Previous Dashboard'!B:CQ,30,FALSE),0)</f>
        <v>6.2087772704211064</v>
      </c>
      <c r="AG69" s="359">
        <f>IFERROR(VLOOKUP(B69,'Staff Engagement'!A:E,2,FALSE),0)</f>
        <v>5.9024577572964674</v>
      </c>
      <c r="AH69" s="409">
        <f>IFERROR(VLOOKUP(B69,'Previous Dashboard'!B:CQ,32,FALSE),0)</f>
        <v>6.095890410958904</v>
      </c>
      <c r="AI69" s="359">
        <f>IFERROR(VLOOKUP(B69,'Staff Engagement'!A:E,3,FALSE),0)</f>
        <v>5.8294930875576041</v>
      </c>
      <c r="AJ69" s="409">
        <f>IFERROR(VLOOKUP(B69,'Previous Dashboard'!B:CQ,34,FALSE),0)</f>
        <v>6.114916286149163</v>
      </c>
      <c r="AK69" s="359">
        <f>IFERROR(VLOOKUP(B69,'Staff Engagement'!A:E,4,FALSE),0)</f>
        <v>6.0522273425499229</v>
      </c>
      <c r="AL69" s="271">
        <f>IFERROR(VLOOKUP(B69,'Previous Dashboard'!B:CQ,36,FALSE),0)</f>
        <v>6.4155251141552512</v>
      </c>
      <c r="AM69" s="386">
        <f>IFERROR(VLOOKUP(B69,'Patient Experience'!A:K,9,FALSE),0)</f>
        <v>1</v>
      </c>
      <c r="AN69" s="60">
        <f>IFERROR(VLOOKUP(VLOOKUP($B69,'Pulse Mapping'!$A:$C,3,FALSE),'Pulse Survey'!$A:$J,'Pulse Survey'!C$1,FALSE),0)</f>
        <v>0.4516</v>
      </c>
      <c r="AO69" s="63">
        <f>IF(AN69&gt;=Benchmark!R$4,1,0)</f>
        <v>0</v>
      </c>
      <c r="AP69" s="43">
        <f>IFERROR(VLOOKUP(B69,'Previous Dashboard'!B:CR,39,FALSE),0)</f>
        <v>0.44292237442922372</v>
      </c>
      <c r="AQ69" s="43">
        <f>IFERROR(VLOOKUP(VLOOKUP($B69,'Pulse Mapping'!$A:$C,3,FALSE),'Pulse Survey'!$A:$J,'Pulse Survey'!D$1,FALSE),0)</f>
        <v>0.53459999999999996</v>
      </c>
      <c r="AR69" s="63">
        <f>IF(AQ69&gt;=Benchmark!T$4,1,0)</f>
        <v>0</v>
      </c>
      <c r="AS69" s="24">
        <f>IFERROR(VLOOKUP(B69,'Previous Dashboard'!B:CR,42,FALSE),0)</f>
        <v>0.57534246575342463</v>
      </c>
      <c r="AT69" s="43">
        <f>IFERROR(VLOOKUP(VLOOKUP($B69,'Pulse Mapping'!$A:$C,3,FALSE),'Pulse Survey'!$A:$J,'Pulse Survey'!E$1,FALSE),0)</f>
        <v>0.38250000000000001</v>
      </c>
      <c r="AU69" s="63">
        <f>IF(AT69&gt;=Benchmark!V$4,1,0)</f>
        <v>0</v>
      </c>
      <c r="AV69" s="24">
        <f>IFERROR(VLOOKUP(B69,'Previous Dashboard'!B:CR,45,FALSE),0)</f>
        <v>0.40639269406392692</v>
      </c>
      <c r="AW69" s="43">
        <f>IFERROR(VLOOKUP(VLOOKUP($B69,'Pulse Mapping'!$A:$C,3,FALSE),'Pulse Survey'!$A:$J,'Pulse Survey'!F$1,FALSE),0)</f>
        <v>0.49309999999999998</v>
      </c>
      <c r="AX69" s="63">
        <f>IF(AW69&gt;=Benchmark!X$4,1,0)</f>
        <v>0</v>
      </c>
      <c r="AY69" s="24">
        <f>IFERROR(VLOOKUP(B69,'Previous Dashboard'!B:CR,48,FALSE),0)</f>
        <v>0.54337899543378998</v>
      </c>
      <c r="AZ69" s="43">
        <f>IFERROR(VLOOKUP(VLOOKUP($B69,'Pulse Mapping'!$A:$C,3,FALSE),'Pulse Survey'!$A:$J,'Pulse Survey'!G$1,FALSE),0)</f>
        <v>0.55300000000000005</v>
      </c>
      <c r="BA69" s="63">
        <f>IF(AZ69&gt;=Benchmark!Z$4,1,0)</f>
        <v>0</v>
      </c>
      <c r="BB69" s="24">
        <f>IFERROR(VLOOKUP(B69,'Previous Dashboard'!B:CR,51,FALSE),0)</f>
        <v>0.63013698630136994</v>
      </c>
      <c r="BC69" s="43">
        <f>IFERROR(VLOOKUP(VLOOKUP($B69,'Pulse Mapping'!$A:$C,3,FALSE),'Pulse Survey'!$A:$J,'Pulse Survey'!H$1,FALSE),0)</f>
        <v>0.46539999999999998</v>
      </c>
      <c r="BD69" s="63">
        <f>IF(BC69&gt;=Benchmark!AB$4,1,0)</f>
        <v>0</v>
      </c>
      <c r="BE69" s="24">
        <f>IFERROR(VLOOKUP(B69,'Previous Dashboard'!B:CR,54,FALSE),0)</f>
        <v>0.49315068493150682</v>
      </c>
      <c r="BF69" s="43">
        <f>IFERROR(VLOOKUP(VLOOKUP($B69,'Pulse Mapping'!$A:$C,3,FALSE),'Pulse Survey'!$A:$J,'Pulse Survey'!I$1,FALSE),0)</f>
        <v>0.62670000000000003</v>
      </c>
      <c r="BG69" s="63">
        <f>IF(BF69&gt;=Benchmark!AD$4,1,0)</f>
        <v>0</v>
      </c>
      <c r="BH69" s="91">
        <f>IFERROR(VLOOKUP(B69,'Previous Dashboard'!B:CR,57,FALSE),0)</f>
        <v>0.67123287671232879</v>
      </c>
      <c r="BI69" s="44">
        <f>IFERROR(VLOOKUP(VLOOKUP($B69,'Pulse Mapping'!$A:$C,3,FALSE),'Pulse Survey'!$A:$J,'Pulse Survey'!J$1,FALSE),0)</f>
        <v>0.54379999999999995</v>
      </c>
      <c r="BJ69" s="63">
        <f>IF(BI69&gt;=Benchmark!AF$4,1,0)</f>
        <v>0</v>
      </c>
      <c r="BK69" s="145">
        <f>IFERROR(VLOOKUP(B69,'Previous Dashboard'!B:CR,60,FALSE),0)</f>
        <v>0.57990867579908678</v>
      </c>
      <c r="BL69" s="191">
        <f t="shared" ref="BL69:BL73" si="24">SUM(AO69, AR69, AU69, AX69, BA69, BD69, BG69, BJ69)</f>
        <v>0</v>
      </c>
      <c r="BM69" s="325">
        <f>IFERROR(VLOOKUP(B69,'Previous Dashboard'!B:CR,63,FALSE),0)</f>
        <v>1</v>
      </c>
      <c r="BN69" s="423">
        <f>SUM(BJ69, BG69, BD69, BA69, AX69, AU69, AR69, AO69, X69, S69, L69)</f>
        <v>1</v>
      </c>
      <c r="BO69" s="190">
        <f>IFERROR(VLOOKUP(B69,'Previous Dashboard'!B:CR,65,FALSE),0)</f>
        <v>2</v>
      </c>
      <c r="BP69" s="25">
        <f>IFERROR(VLOOKUP(B69,'Previous Dashboard'!B:CR,66,FALSE),0)</f>
        <v>1</v>
      </c>
      <c r="BQ69" s="288">
        <f>IFERROR(VLOOKUP(B69,'Previous Dashboard'!B:CR,67,FALSE),0)</f>
        <v>2</v>
      </c>
      <c r="BR69" s="98"/>
      <c r="BS69" s="136">
        <f>IFERROR(VLOOKUP(B69,'Staff Survey'!B:L,3,FALSE),"-")</f>
        <v>6.9</v>
      </c>
      <c r="BT69" s="394" t="s">
        <v>389</v>
      </c>
      <c r="BU69" s="136">
        <f>IFERROR(VLOOKUP(B69,'Staff Survey'!B:M,4,FALSE),"-")</f>
        <v>5.7</v>
      </c>
      <c r="BV69" s="394" t="s">
        <v>389</v>
      </c>
      <c r="BW69" s="136">
        <f>IFERROR(VLOOKUP(B69,'Staff Survey'!B:M,5,FALSE),"-")</f>
        <v>6.4</v>
      </c>
      <c r="BX69" s="394" t="s">
        <v>389</v>
      </c>
      <c r="BY69" s="136">
        <f>IFERROR(VLOOKUP(B69,'Staff Survey'!B:M,6,FALSE),"-")</f>
        <v>5.7</v>
      </c>
      <c r="BZ69" s="394" t="s">
        <v>389</v>
      </c>
      <c r="CA69" s="136">
        <f>IFERROR(VLOOKUP(B69,'Staff Survey'!B:M,7,FALSE),"-")</f>
        <v>5</v>
      </c>
      <c r="CB69" s="394" t="s">
        <v>389</v>
      </c>
      <c r="CC69" s="136">
        <f>IFERROR(VLOOKUP(B69,'Staff Survey'!B:M,8,FALSE),"-")</f>
        <v>5.7</v>
      </c>
      <c r="CD69" s="394" t="s">
        <v>389</v>
      </c>
      <c r="CE69" s="136">
        <f>IFERROR(VLOOKUP(B69,'Staff Survey'!B:M,9,FALSE),"-")</f>
        <v>6.3</v>
      </c>
      <c r="CF69" s="394" t="s">
        <v>389</v>
      </c>
      <c r="CG69" s="136">
        <f>IFERROR(VLOOKUP(B69,'Staff Survey'!B:L,10,FALSE),"-")</f>
        <v>6.4</v>
      </c>
      <c r="CH69" s="137">
        <v>6.7</v>
      </c>
      <c r="CI69" s="403">
        <f>IFERROR(VLOOKUP(B69,'Staff Survey'!B:L,11,FALSE),"-")</f>
        <v>5.4</v>
      </c>
      <c r="CJ69" s="368">
        <v>6</v>
      </c>
      <c r="CL69" s="266">
        <f>IFERROR(VLOOKUP(B69,'LfE . HR Ops . F2SU'!A:B,2,FALSE),0)</f>
        <v>96</v>
      </c>
      <c r="CM69" s="119">
        <f>IFERROR(VLOOKUP(B69,'Previous Dashboard'!B:CR,89,FALSE),0)</f>
        <v>89</v>
      </c>
      <c r="CN69" s="119">
        <f>IFERROR(VLOOKUP(B69,'LfE . HR Ops . F2SU'!A:D,3,FALSE),0)</f>
        <v>8</v>
      </c>
      <c r="CO69" s="130">
        <f>IFERROR(VLOOKUP(B69,'Previous Dashboard'!B:CR,91,FALSE),0)</f>
        <v>8</v>
      </c>
      <c r="CP69" s="119">
        <f>IFERROR(VLOOKUP(B69,'LfE . HR Ops . F2SU'!A:D,4,FALSE),0)</f>
        <v>9</v>
      </c>
      <c r="CQ69" s="414">
        <f>IFERROR(VLOOKUP(B69,'Previous Dashboard'!B:CR,93,FALSE),0)</f>
        <v>2</v>
      </c>
    </row>
    <row r="70" spans="2:95" x14ac:dyDescent="0.25">
      <c r="B70" s="71" t="s">
        <v>12</v>
      </c>
      <c r="C70" s="235">
        <f>IFERROR(VLOOKUP(B70,'Staff In Post'!A:C,3,FALSE),0)</f>
        <v>2169</v>
      </c>
      <c r="D70" s="244">
        <f>IFERROR(VLOOKUP(B70,'Mandatory Training'!A:C,3,FALSE),0)</f>
        <v>0.58575581395348841</v>
      </c>
      <c r="E70" s="24">
        <f>IFERROR(VLOOKUP(B70,'Previous Dashboard'!B:CR,3,FALSE),0)</f>
        <v>0.56786427145708585</v>
      </c>
      <c r="F70" s="63">
        <f>IF(D70&gt;=Benchmark!C$4,1,0)</f>
        <v>0</v>
      </c>
      <c r="G70" s="24">
        <f>IFERROR(VLOOKUP(B70,Appraisals!A:C,3,FALSE),0)</f>
        <v>0.7408088235294118</v>
      </c>
      <c r="H70" s="24">
        <f>IFERROR(VLOOKUP(B70,'Previous Dashboard'!B:CR,6,FALSE),0)</f>
        <v>0.67123287671232879</v>
      </c>
      <c r="I70" s="63">
        <f>IF(G70&gt;=Benchmark!E$4,1,0)</f>
        <v>0</v>
      </c>
      <c r="J70" s="59">
        <f>AVERAGE(D70,G70)</f>
        <v>0.66328231874145005</v>
      </c>
      <c r="K70" s="91">
        <f>AVERAGE(E70, H70)</f>
        <v>0.61954857408470732</v>
      </c>
      <c r="L70" s="63">
        <f>IF(J70&gt;=Benchmark!G$4,1,0)</f>
        <v>0</v>
      </c>
      <c r="M70" s="42">
        <f>IFERROR(VLOOKUP(B70,Stress!A:D,4,FALSE),"-")</f>
        <v>1.52463499404288E-2</v>
      </c>
      <c r="N70" s="60">
        <f>IFERROR(VLOOKUP(B70,'Previous Dashboard'!B:CR,12,FALSE),0)</f>
        <v>1.4809410562691E-2</v>
      </c>
      <c r="O70" s="43">
        <f>IFERROR(VLOOKUP(B70,'Musculo Skeletal'!A:D,4,FALSE),"-")</f>
        <v>9.6448041376148395E-3</v>
      </c>
      <c r="P70" s="43">
        <f>IFERROR(VLOOKUP(B70,'Previous Dashboard'!B:CR,14,FALSE),0)</f>
        <v>9.53442905143107E-3</v>
      </c>
      <c r="Q70" s="43">
        <f>IFERROR(VLOOKUP(B70,'All Sickness'!A:D,4,FALSE),"-")</f>
        <v>6.3018053545653999E-2</v>
      </c>
      <c r="R70" s="43">
        <f>IFERROR(VLOOKUP(B70,'Previous Dashboard'!B:CR,16,FALSE),0)</f>
        <v>6.2780677905601101E-2</v>
      </c>
      <c r="S70" s="63">
        <f>IF(Q70&lt;=Benchmark!K$4,1,0)</f>
        <v>0</v>
      </c>
      <c r="T70" s="44">
        <f>IFERROR(VLOOKUP(B70,LT.ST!A:C,3,FALSE),"-")</f>
        <v>3.6007466378661701E-2</v>
      </c>
      <c r="U70" s="43">
        <f>IFERROR(VLOOKUP(B70,'Previous Dashboard'!B:CR,19,FALSE),0)</f>
        <v>3.4422204618270703E-2</v>
      </c>
      <c r="V70" s="42">
        <f>IFERROR(VLOOKUP(B70,Turnover!A:C,2,FALSE),0)</f>
        <v>2.6993251687078199E-2</v>
      </c>
      <c r="W70" s="60">
        <f>IFERROR(VLOOKUP(B70,'Previous Dashboard'!B:CR,21,FALSE),0)</f>
        <v>2.7397260273972601E-2</v>
      </c>
      <c r="X70" s="432">
        <f>IF(V70&lt;=Benchmark!N$4,1,0)</f>
        <v>1</v>
      </c>
      <c r="Y70" s="325">
        <f>IFERROR(VLOOKUP(B70,Leavers!A:I,6,FALSE),0)</f>
        <v>54</v>
      </c>
      <c r="Z70" s="435">
        <f t="shared" si="22"/>
        <v>1</v>
      </c>
      <c r="AA70" s="298">
        <f>IFERROR(VLOOKUP(B70,'Previous Dashboard'!B:CR,25,FALSE),0)</f>
        <v>1</v>
      </c>
      <c r="AB70" s="188">
        <f>IFERROR(VLOOKUP(VLOOKUP($B70,'Pulse Mapping'!$A:$C,3,FALSE),'Pulse Survey'!$A:$J,2,FALSE),0)</f>
        <v>304</v>
      </c>
      <c r="AC70" s="25">
        <f>IFERROR(VLOOKUP(B70,'Previous Dashboard'!B:CR,27,FALSE),0)</f>
        <v>313</v>
      </c>
      <c r="AD70" s="52">
        <f t="shared" si="23"/>
        <v>0.14015675426463808</v>
      </c>
      <c r="AE70" s="403">
        <f>IFERROR(VLOOKUP(B70,'Staff Engagement'!A:E,5,FALSE),0)</f>
        <v>7.3839546783625725</v>
      </c>
      <c r="AF70" s="409">
        <f>IFERROR(VLOOKUP(B70,'Previous Dashboard'!B:CQ,30,FALSE),0)</f>
        <v>7.2958821441249553</v>
      </c>
      <c r="AG70" s="359">
        <f>IFERROR(VLOOKUP(B70,'Staff Engagement'!A:E,2,FALSE),0)</f>
        <v>7.5794956140350873</v>
      </c>
      <c r="AH70" s="409">
        <f>IFERROR(VLOOKUP(B70,'Previous Dashboard'!B:CQ,32,FALSE),0)</f>
        <v>7.3748668796592121</v>
      </c>
      <c r="AI70" s="359">
        <f>IFERROR(VLOOKUP(B70,'Staff Engagement'!A:E,3,FALSE),0)</f>
        <v>7.036732456140351</v>
      </c>
      <c r="AJ70" s="409">
        <f>IFERROR(VLOOKUP(B70,'Previous Dashboard'!B:CQ,34,FALSE),0)</f>
        <v>7.100638977635783</v>
      </c>
      <c r="AK70" s="359">
        <f>IFERROR(VLOOKUP(B70,'Staff Engagement'!A:E,4,FALSE),0)</f>
        <v>7.5356359649122808</v>
      </c>
      <c r="AL70" s="271">
        <f>IFERROR(VLOOKUP(B70,'Previous Dashboard'!B:CQ,36,FALSE),0)</f>
        <v>7.4121405750798726</v>
      </c>
      <c r="AM70" s="386">
        <f>IFERROR(VLOOKUP(B70,'Patient Experience'!A:K,9,FALSE),0)</f>
        <v>0.5</v>
      </c>
      <c r="AN70" s="60">
        <f>IFERROR(VLOOKUP(VLOOKUP($B70,'Pulse Mapping'!$A:$C,3,FALSE),'Pulse Survey'!$A:$J,'Pulse Survey'!C$1,FALSE),0)</f>
        <v>0.75329999999999997</v>
      </c>
      <c r="AO70" s="63">
        <f>IF(AN70&gt;=Benchmark!R$4,1,0)</f>
        <v>1</v>
      </c>
      <c r="AP70" s="43">
        <f>IFERROR(VLOOKUP(B70,'Previous Dashboard'!B:CR,39,FALSE),0)</f>
        <v>0.74760383386581464</v>
      </c>
      <c r="AQ70" s="43">
        <f>IFERROR(VLOOKUP(VLOOKUP($B70,'Pulse Mapping'!$A:$C,3,FALSE),'Pulse Survey'!$A:$J,'Pulse Survey'!D$1,FALSE),0)</f>
        <v>0.74670000000000003</v>
      </c>
      <c r="AR70" s="63">
        <f>IF(AQ70&gt;=Benchmark!T$4,1,0)</f>
        <v>1</v>
      </c>
      <c r="AS70" s="24">
        <f>IFERROR(VLOOKUP(B70,'Previous Dashboard'!B:CR,42,FALSE),0)</f>
        <v>0.73482428115015974</v>
      </c>
      <c r="AT70" s="43">
        <f>IFERROR(VLOOKUP(VLOOKUP($B70,'Pulse Mapping'!$A:$C,3,FALSE),'Pulse Survey'!$A:$J,'Pulse Survey'!E$1,FALSE),0)</f>
        <v>0.66779999999999995</v>
      </c>
      <c r="AU70" s="63">
        <f>IF(AT70&gt;=Benchmark!V$4,1,0)</f>
        <v>0</v>
      </c>
      <c r="AV70" s="24">
        <f>IFERROR(VLOOKUP(B70,'Previous Dashboard'!B:CR,45,FALSE),0)</f>
        <v>0.61980830670926512</v>
      </c>
      <c r="AW70" s="43">
        <f>IFERROR(VLOOKUP(VLOOKUP($B70,'Pulse Mapping'!$A:$C,3,FALSE),'Pulse Survey'!$A:$J,'Pulse Survey'!F$1,FALSE),0)</f>
        <v>0.70069999999999999</v>
      </c>
      <c r="AX70" s="63">
        <f>IF(AW70&gt;=Benchmark!X$4,1,0)</f>
        <v>1</v>
      </c>
      <c r="AY70" s="24">
        <f>IFERROR(VLOOKUP(B70,'Previous Dashboard'!B:CR,48,FALSE),0)</f>
        <v>0.71884984025559107</v>
      </c>
      <c r="AZ70" s="43">
        <f>IFERROR(VLOOKUP(VLOOKUP($B70,'Pulse Mapping'!$A:$C,3,FALSE),'Pulse Survey'!$A:$J,'Pulse Survey'!G$1,FALSE),0)</f>
        <v>0.76970000000000005</v>
      </c>
      <c r="BA70" s="63">
        <f>IF(AZ70&gt;=Benchmark!Z$4,1,0)</f>
        <v>1</v>
      </c>
      <c r="BB70" s="24">
        <f>IFERROR(VLOOKUP(B70,'Previous Dashboard'!B:CR,51,FALSE),0)</f>
        <v>0.76996805111821087</v>
      </c>
      <c r="BC70" s="43">
        <f>IFERROR(VLOOKUP(VLOOKUP($B70,'Pulse Mapping'!$A:$C,3,FALSE),'Pulse Survey'!$A:$J,'Pulse Survey'!H$1,FALSE),0)</f>
        <v>0.65790000000000004</v>
      </c>
      <c r="BD70" s="63">
        <f>IF(BC70&gt;=Benchmark!AB$4,1,0)</f>
        <v>0</v>
      </c>
      <c r="BE70" s="24">
        <f>IFERROR(VLOOKUP(B70,'Previous Dashboard'!B:CR,54,FALSE),0)</f>
        <v>0.65814696485623003</v>
      </c>
      <c r="BF70" s="43">
        <f>IFERROR(VLOOKUP(VLOOKUP($B70,'Pulse Mapping'!$A:$C,3,FALSE),'Pulse Survey'!$A:$J,'Pulse Survey'!I$1,FALSE),0)</f>
        <v>0.74009999999999998</v>
      </c>
      <c r="BG70" s="63">
        <f>IF(BF70&gt;=Benchmark!AD$4,1,0)</f>
        <v>1</v>
      </c>
      <c r="BH70" s="91">
        <f>IFERROR(VLOOKUP(B70,'Previous Dashboard'!B:CR,57,FALSE),0)</f>
        <v>0.74440894568690097</v>
      </c>
      <c r="BI70" s="44">
        <f>IFERROR(VLOOKUP(VLOOKUP($B70,'Pulse Mapping'!$A:$C,3,FALSE),'Pulse Survey'!$A:$J,'Pulse Survey'!J$1,FALSE),0)</f>
        <v>0.65790000000000004</v>
      </c>
      <c r="BJ70" s="63">
        <f>IF(BI70&gt;=Benchmark!AF$4,1,0)</f>
        <v>0</v>
      </c>
      <c r="BK70" s="145">
        <f>IFERROR(VLOOKUP(B70,'Previous Dashboard'!B:CR,60,FALSE),0)</f>
        <v>0.67412140575079871</v>
      </c>
      <c r="BL70" s="224">
        <f t="shared" si="24"/>
        <v>5</v>
      </c>
      <c r="BM70" s="325">
        <f>IFERROR(VLOOKUP(B70,'Previous Dashboard'!B:CR,63,FALSE),0)</f>
        <v>6</v>
      </c>
      <c r="BN70" s="423">
        <f>SUM(BJ70, BG70, BD70, BA70, AX70, AU70, AR70, AO70, X70, S70, L70)</f>
        <v>6</v>
      </c>
      <c r="BO70" s="190">
        <f>IFERROR(VLOOKUP(B70,'Previous Dashboard'!B:CR,65,FALSE),0)</f>
        <v>7</v>
      </c>
      <c r="BP70" s="25">
        <f>IFERROR(VLOOKUP(B70,'Previous Dashboard'!B:CR,66,FALSE),0)</f>
        <v>9</v>
      </c>
      <c r="BQ70" s="288">
        <f>IFERROR(VLOOKUP(B70,'Previous Dashboard'!B:CR,67,FALSE),0)</f>
        <v>7</v>
      </c>
      <c r="BR70" s="98"/>
      <c r="BS70" s="136">
        <f>IFERROR(VLOOKUP(B70,'Staff Survey'!B:L,3,FALSE),"-")</f>
        <v>7.4</v>
      </c>
      <c r="BT70" s="394" t="s">
        <v>389</v>
      </c>
      <c r="BU70" s="136">
        <f>IFERROR(VLOOKUP(B70,'Staff Survey'!B:M,4,FALSE),"-")</f>
        <v>6.3</v>
      </c>
      <c r="BV70" s="394" t="s">
        <v>389</v>
      </c>
      <c r="BW70" s="136">
        <f>IFERROR(VLOOKUP(B70,'Staff Survey'!B:M,5,FALSE),"-")</f>
        <v>6.9</v>
      </c>
      <c r="BX70" s="394" t="s">
        <v>389</v>
      </c>
      <c r="BY70" s="136">
        <f>IFERROR(VLOOKUP(B70,'Staff Survey'!B:M,6,FALSE),"-")</f>
        <v>6.5</v>
      </c>
      <c r="BZ70" s="394" t="s">
        <v>389</v>
      </c>
      <c r="CA70" s="136">
        <f>IFERROR(VLOOKUP(B70,'Staff Survey'!B:M,7,FALSE),"-")</f>
        <v>5.5</v>
      </c>
      <c r="CB70" s="394" t="s">
        <v>389</v>
      </c>
      <c r="CC70" s="136">
        <f>IFERROR(VLOOKUP(B70,'Staff Survey'!B:M,8,FALSE),"-")</f>
        <v>6.5</v>
      </c>
      <c r="CD70" s="394" t="s">
        <v>389</v>
      </c>
      <c r="CE70" s="136">
        <f>IFERROR(VLOOKUP(B70,'Staff Survey'!B:M,9,FALSE),"-")</f>
        <v>6.8</v>
      </c>
      <c r="CF70" s="394" t="s">
        <v>389</v>
      </c>
      <c r="CG70" s="136">
        <f>IFERROR(VLOOKUP(B70,'Staff Survey'!B:L,10,FALSE),"-")</f>
        <v>7</v>
      </c>
      <c r="CH70" s="137">
        <v>7.1</v>
      </c>
      <c r="CI70" s="403">
        <f>IFERROR(VLOOKUP(B70,'Staff Survey'!B:L,11,FALSE),"-")</f>
        <v>6.2</v>
      </c>
      <c r="CJ70" s="368">
        <v>6.6</v>
      </c>
      <c r="CL70" s="266">
        <f>IFERROR(VLOOKUP(B70,'LfE . HR Ops . F2SU'!A:B,2,FALSE),0)</f>
        <v>173</v>
      </c>
      <c r="CM70" s="119">
        <f>IFERROR(VLOOKUP(B70,'Previous Dashboard'!B:CR,89,FALSE),0)</f>
        <v>126</v>
      </c>
      <c r="CN70" s="119">
        <f>IFERROR(VLOOKUP(B70,'LfE . HR Ops . F2SU'!A:D,3,FALSE),0)</f>
        <v>3</v>
      </c>
      <c r="CO70" s="130">
        <f>IFERROR(VLOOKUP(B70,'Previous Dashboard'!B:CR,91,FALSE),0)</f>
        <v>3</v>
      </c>
      <c r="CP70" s="119">
        <f>IFERROR(VLOOKUP(B70,'LfE . HR Ops . F2SU'!A:D,4,FALSE),0)</f>
        <v>3</v>
      </c>
      <c r="CQ70" s="414">
        <f>IFERROR(VLOOKUP(B70,'Previous Dashboard'!B:CR,93,FALSE),0)</f>
        <v>8</v>
      </c>
    </row>
    <row r="71" spans="2:95" x14ac:dyDescent="0.25">
      <c r="B71" s="71" t="s">
        <v>22</v>
      </c>
      <c r="C71" s="235">
        <f>IFERROR(VLOOKUP(B71,'Staff In Post'!A:C,3,FALSE),0)</f>
        <v>2674</v>
      </c>
      <c r="D71" s="244">
        <f>IFERROR(VLOOKUP(B71,'Mandatory Training'!A:C,3,FALSE),0)</f>
        <v>0.5911624203821656</v>
      </c>
      <c r="E71" s="24">
        <f>IFERROR(VLOOKUP(B71,'Previous Dashboard'!B:CR,3,FALSE),0)</f>
        <v>0.54693877551020409</v>
      </c>
      <c r="F71" s="63">
        <f>IF(D71&gt;=Benchmark!C$4,1,0)</f>
        <v>0</v>
      </c>
      <c r="G71" s="24">
        <f>IFERROR(VLOOKUP(B71,Appraisals!A:C,3,FALSE),0)</f>
        <v>0.86336154776299878</v>
      </c>
      <c r="H71" s="24">
        <f>IFERROR(VLOOKUP(B71,'Previous Dashboard'!B:CR,6,FALSE),0)</f>
        <v>0.84061538461538465</v>
      </c>
      <c r="I71" s="63">
        <f>IF(G71&gt;=Benchmark!E$4,1,0)</f>
        <v>0</v>
      </c>
      <c r="J71" s="59">
        <f>AVERAGE(D71,G71)</f>
        <v>0.72726198407258225</v>
      </c>
      <c r="K71" s="91">
        <f>AVERAGE(E71, H71)</f>
        <v>0.69377708006279437</v>
      </c>
      <c r="L71" s="63">
        <f>IF(J71&gt;=Benchmark!G$4,1,0)</f>
        <v>0</v>
      </c>
      <c r="M71" s="42">
        <f>IFERROR(VLOOKUP(B71,Stress!A:D,4,FALSE),"-")</f>
        <v>1.6110917238040898E-2</v>
      </c>
      <c r="N71" s="60">
        <f>IFERROR(VLOOKUP(B71,'Previous Dashboard'!B:CR,12,FALSE),0)</f>
        <v>1.72657855505918E-2</v>
      </c>
      <c r="O71" s="43">
        <f>IFERROR(VLOOKUP(B71,'Musculo Skeletal'!A:D,4,FALSE),"-")</f>
        <v>8.2136537838343598E-3</v>
      </c>
      <c r="P71" s="43">
        <f>IFERROR(VLOOKUP(B71,'Previous Dashboard'!B:CR,14,FALSE),0)</f>
        <v>6.94087164163235E-3</v>
      </c>
      <c r="Q71" s="43">
        <f>IFERROR(VLOOKUP(B71,'All Sickness'!A:D,4,FALSE),"-")</f>
        <v>6.6410183852465998E-2</v>
      </c>
      <c r="R71" s="43">
        <f>IFERROR(VLOOKUP(B71,'Previous Dashboard'!B:CR,16,FALSE),0)</f>
        <v>6.5485641508448503E-2</v>
      </c>
      <c r="S71" s="63">
        <f>IF(Q71&lt;=Benchmark!K$4,1,0)</f>
        <v>0</v>
      </c>
      <c r="T71" s="44">
        <f>IFERROR(VLOOKUP(B71,LT.ST!A:C,3,FALSE),"-")</f>
        <v>2.9989589340677799E-2</v>
      </c>
      <c r="U71" s="43">
        <f>IFERROR(VLOOKUP(B71,'Previous Dashboard'!B:CR,19,FALSE),0)</f>
        <v>2.74870947140066E-2</v>
      </c>
      <c r="V71" s="42">
        <f>IFERROR(VLOOKUP(B71,Turnover!A:C,2,FALSE),0)</f>
        <v>3.5417577612592899E-2</v>
      </c>
      <c r="W71" s="60">
        <f>IFERROR(VLOOKUP(B71,'Previous Dashboard'!B:CR,21,FALSE),0)</f>
        <v>3.02423838114298E-2</v>
      </c>
      <c r="X71" s="432">
        <f>IF(V71&lt;=Benchmark!N$4,1,0)</f>
        <v>1</v>
      </c>
      <c r="Y71" s="325">
        <f>IFERROR(VLOOKUP(B71,Leavers!A:I,6,FALSE),0)</f>
        <v>81</v>
      </c>
      <c r="Z71" s="435">
        <f t="shared" si="22"/>
        <v>1</v>
      </c>
      <c r="AA71" s="298">
        <f>IFERROR(VLOOKUP(B71,'Previous Dashboard'!B:CR,25,FALSE),0)</f>
        <v>1</v>
      </c>
      <c r="AB71" s="188">
        <f>IFERROR(VLOOKUP(VLOOKUP($B71,'Pulse Mapping'!$A:$C,3,FALSE),'Pulse Survey'!$A:$J,2,FALSE),0)</f>
        <v>322</v>
      </c>
      <c r="AC71" s="25">
        <f>IFERROR(VLOOKUP(B71,'Previous Dashboard'!B:CR,27,FALSE),0)</f>
        <v>279</v>
      </c>
      <c r="AD71" s="52">
        <f t="shared" si="23"/>
        <v>0.12041884816753927</v>
      </c>
      <c r="AE71" s="403">
        <f>IFERROR(VLOOKUP(B71,'Staff Engagement'!A:E,5,FALSE),0)</f>
        <v>6.036922015182884</v>
      </c>
      <c r="AF71" s="409">
        <f>IFERROR(VLOOKUP(B71,'Previous Dashboard'!B:CQ,30,FALSE),0)</f>
        <v>6.449621664675429</v>
      </c>
      <c r="AG71" s="359">
        <f>IFERROR(VLOOKUP(B71,'Staff Engagement'!A:E,2,FALSE),0)</f>
        <v>5.7556935817805384</v>
      </c>
      <c r="AH71" s="409">
        <f>IFERROR(VLOOKUP(B71,'Previous Dashboard'!B:CQ,32,FALSE),0)</f>
        <v>6.0633213859020314</v>
      </c>
      <c r="AI71" s="359">
        <f>IFERROR(VLOOKUP(B71,'Staff Engagement'!A:E,3,FALSE),0)</f>
        <v>5.8825051759834368</v>
      </c>
      <c r="AJ71" s="409">
        <f>IFERROR(VLOOKUP(B71,'Previous Dashboard'!B:CQ,34,FALSE),0)</f>
        <v>6.3410991636798091</v>
      </c>
      <c r="AK71" s="359">
        <f>IFERROR(VLOOKUP(B71,'Staff Engagement'!A:E,4,FALSE),0)</f>
        <v>6.4725672877846794</v>
      </c>
      <c r="AL71" s="271">
        <f>IFERROR(VLOOKUP(B71,'Previous Dashboard'!B:CQ,36,FALSE),0)</f>
        <v>6.9444444444444446</v>
      </c>
      <c r="AM71" s="386">
        <f>IFERROR(VLOOKUP(B71,'Patient Experience'!A:K,9,FALSE),0)</f>
        <v>0.84731774415405781</v>
      </c>
      <c r="AN71" s="60">
        <f>IFERROR(VLOOKUP(VLOOKUP($B71,'Pulse Mapping'!$A:$C,3,FALSE),'Pulse Survey'!$A:$J,'Pulse Survey'!C$1,FALSE),0)</f>
        <v>0.41930000000000001</v>
      </c>
      <c r="AO71" s="63">
        <f>IF(AN71&gt;=Benchmark!R$4,1,0)</f>
        <v>0</v>
      </c>
      <c r="AP71" s="43">
        <f>IFERROR(VLOOKUP(B71,'Previous Dashboard'!B:CR,39,FALSE),0)</f>
        <v>0.51971326164874554</v>
      </c>
      <c r="AQ71" s="43">
        <f>IFERROR(VLOOKUP(VLOOKUP($B71,'Pulse Mapping'!$A:$C,3,FALSE),'Pulse Survey'!$A:$J,'Pulse Survey'!D$1,FALSE),0)</f>
        <v>0.52170000000000005</v>
      </c>
      <c r="AR71" s="63">
        <f>IF(AQ71&gt;=Benchmark!T$4,1,0)</f>
        <v>0</v>
      </c>
      <c r="AS71" s="24">
        <f>IFERROR(VLOOKUP(B71,'Previous Dashboard'!B:CR,42,FALSE),0)</f>
        <v>0.53046594982078854</v>
      </c>
      <c r="AT71" s="43">
        <f>IFERROR(VLOOKUP(VLOOKUP($B71,'Pulse Mapping'!$A:$C,3,FALSE),'Pulse Survey'!$A:$J,'Pulse Survey'!E$1,FALSE),0)</f>
        <v>0.47520000000000001</v>
      </c>
      <c r="AU71" s="63">
        <f>IF(AT71&gt;=Benchmark!V$4,1,0)</f>
        <v>0</v>
      </c>
      <c r="AV71" s="24">
        <f>IFERROR(VLOOKUP(B71,'Previous Dashboard'!B:CR,45,FALSE),0)</f>
        <v>0.50179211469534046</v>
      </c>
      <c r="AW71" s="43">
        <f>IFERROR(VLOOKUP(VLOOKUP($B71,'Pulse Mapping'!$A:$C,3,FALSE),'Pulse Survey'!$A:$J,'Pulse Survey'!F$1,FALSE),0)</f>
        <v>0.51239999999999997</v>
      </c>
      <c r="AX71" s="63">
        <f>IF(AW71&gt;=Benchmark!X$4,1,0)</f>
        <v>0</v>
      </c>
      <c r="AY71" s="24">
        <f>IFERROR(VLOOKUP(B71,'Previous Dashboard'!B:CR,48,FALSE),0)</f>
        <v>0.58064516129032251</v>
      </c>
      <c r="AZ71" s="43">
        <f>IFERROR(VLOOKUP(VLOOKUP($B71,'Pulse Mapping'!$A:$C,3,FALSE),'Pulse Survey'!$A:$J,'Pulse Survey'!G$1,FALSE),0)</f>
        <v>0.56830000000000003</v>
      </c>
      <c r="BA71" s="63">
        <f>IF(AZ71&gt;=Benchmark!Z$4,1,0)</f>
        <v>0</v>
      </c>
      <c r="BB71" s="24">
        <f>IFERROR(VLOOKUP(B71,'Previous Dashboard'!B:CR,51,FALSE),0)</f>
        <v>0.63440860215053763</v>
      </c>
      <c r="BC71" s="43">
        <f>IFERROR(VLOOKUP(VLOOKUP($B71,'Pulse Mapping'!$A:$C,3,FALSE),'Pulse Survey'!$A:$J,'Pulse Survey'!H$1,FALSE),0)</f>
        <v>0.50309999999999999</v>
      </c>
      <c r="BD71" s="63">
        <f>IF(BC71&gt;=Benchmark!AB$4,1,0)</f>
        <v>0</v>
      </c>
      <c r="BE71" s="24">
        <f>IFERROR(VLOOKUP(B71,'Previous Dashboard'!B:CR,54,FALSE),0)</f>
        <v>0.59139784946236551</v>
      </c>
      <c r="BF71" s="43">
        <f>IFERROR(VLOOKUP(VLOOKUP($B71,'Pulse Mapping'!$A:$C,3,FALSE),'Pulse Survey'!$A:$J,'Pulse Survey'!I$1,FALSE),0)</f>
        <v>0.61180000000000001</v>
      </c>
      <c r="BG71" s="63">
        <f>IF(BF71&gt;=Benchmark!AD$4,1,0)</f>
        <v>0</v>
      </c>
      <c r="BH71" s="91">
        <f>IFERROR(VLOOKUP(B71,'Previous Dashboard'!B:CR,57,FALSE),0)</f>
        <v>0.65949820788530467</v>
      </c>
      <c r="BI71" s="44">
        <f>IFERROR(VLOOKUP(VLOOKUP($B71,'Pulse Mapping'!$A:$C,3,FALSE),'Pulse Survey'!$A:$J,'Pulse Survey'!J$1,FALSE),0)</f>
        <v>0.45960000000000001</v>
      </c>
      <c r="BJ71" s="63">
        <f>IF(BI71&gt;=Benchmark!AF$4,1,0)</f>
        <v>0</v>
      </c>
      <c r="BK71" s="145">
        <f>IFERROR(VLOOKUP(B71,'Previous Dashboard'!B:CR,60,FALSE),0)</f>
        <v>0.55913978494623651</v>
      </c>
      <c r="BL71" s="224">
        <f t="shared" si="24"/>
        <v>0</v>
      </c>
      <c r="BM71" s="325">
        <f>IFERROR(VLOOKUP(B71,'Previous Dashboard'!B:CR,63,FALSE),0)</f>
        <v>0</v>
      </c>
      <c r="BN71" s="423">
        <f>SUM(BJ71, BG71, BD71, BA71, AX71, AU71, AR71, AO71, X71, S71, L71)</f>
        <v>1</v>
      </c>
      <c r="BO71" s="190">
        <f>IFERROR(VLOOKUP(B71,'Previous Dashboard'!B:CR,65,FALSE),0)</f>
        <v>1</v>
      </c>
      <c r="BP71" s="25">
        <f>IFERROR(VLOOKUP(B71,'Previous Dashboard'!B:CR,66,FALSE),0)</f>
        <v>2</v>
      </c>
      <c r="BQ71" s="288">
        <f>IFERROR(VLOOKUP(B71,'Previous Dashboard'!B:CR,67,FALSE),0)</f>
        <v>2</v>
      </c>
      <c r="BR71" s="98"/>
      <c r="BS71" s="136">
        <f>IFERROR(VLOOKUP(B71,'Staff Survey'!B:L,3,FALSE),"-")</f>
        <v>6.9</v>
      </c>
      <c r="BT71" s="394" t="s">
        <v>389</v>
      </c>
      <c r="BU71" s="136">
        <f>IFERROR(VLOOKUP(B71,'Staff Survey'!B:M,4,FALSE),"-")</f>
        <v>5.5</v>
      </c>
      <c r="BV71" s="394" t="s">
        <v>389</v>
      </c>
      <c r="BW71" s="136">
        <f>IFERROR(VLOOKUP(B71,'Staff Survey'!B:M,5,FALSE),"-")</f>
        <v>6.4</v>
      </c>
      <c r="BX71" s="394" t="s">
        <v>389</v>
      </c>
      <c r="BY71" s="136">
        <f>IFERROR(VLOOKUP(B71,'Staff Survey'!B:M,6,FALSE),"-")</f>
        <v>5.2</v>
      </c>
      <c r="BZ71" s="394" t="s">
        <v>389</v>
      </c>
      <c r="CA71" s="136">
        <f>IFERROR(VLOOKUP(B71,'Staff Survey'!B:M,7,FALSE),"-")</f>
        <v>5.0999999999999996</v>
      </c>
      <c r="CB71" s="394" t="s">
        <v>389</v>
      </c>
      <c r="CC71" s="136">
        <f>IFERROR(VLOOKUP(B71,'Staff Survey'!B:M,8,FALSE),"-")</f>
        <v>5.6</v>
      </c>
      <c r="CD71" s="394" t="s">
        <v>389</v>
      </c>
      <c r="CE71" s="136">
        <f>IFERROR(VLOOKUP(B71,'Staff Survey'!B:M,9,FALSE),"-")</f>
        <v>6.3</v>
      </c>
      <c r="CF71" s="394" t="s">
        <v>389</v>
      </c>
      <c r="CG71" s="136">
        <f>IFERROR(VLOOKUP(B71,'Staff Survey'!B:L,10,FALSE),"-")</f>
        <v>6.5</v>
      </c>
      <c r="CH71" s="137">
        <v>6.9</v>
      </c>
      <c r="CI71" s="403">
        <f>IFERROR(VLOOKUP(B71,'Staff Survey'!B:L,11,FALSE),"-")</f>
        <v>5.3</v>
      </c>
      <c r="CJ71" s="368">
        <v>6</v>
      </c>
      <c r="CL71" s="266">
        <f>IFERROR(VLOOKUP(B71,'LfE . HR Ops . F2SU'!A:B,2,FALSE),0)</f>
        <v>300</v>
      </c>
      <c r="CM71" s="119">
        <f>IFERROR(VLOOKUP(B71,'Previous Dashboard'!B:CR,89,FALSE),0)</f>
        <v>315</v>
      </c>
      <c r="CN71" s="119">
        <f>IFERROR(VLOOKUP(B71,'LfE . HR Ops . F2SU'!A:D,3,FALSE),0)</f>
        <v>8</v>
      </c>
      <c r="CO71" s="130">
        <f>IFERROR(VLOOKUP(B71,'Previous Dashboard'!B:CR,91,FALSE),0)</f>
        <v>8</v>
      </c>
      <c r="CP71" s="119">
        <f>IFERROR(VLOOKUP(B71,'LfE . HR Ops . F2SU'!A:D,4,FALSE),0)</f>
        <v>12</v>
      </c>
      <c r="CQ71" s="414">
        <f>IFERROR(VLOOKUP(B71,'Previous Dashboard'!B:CR,93,FALSE),0)</f>
        <v>4</v>
      </c>
    </row>
    <row r="72" spans="2:95" x14ac:dyDescent="0.25">
      <c r="B72" s="71" t="s">
        <v>41</v>
      </c>
      <c r="C72" s="235">
        <f>IFERROR(VLOOKUP(B72,'Staff In Post'!A:C,3,FALSE),0)</f>
        <v>2609</v>
      </c>
      <c r="D72" s="244">
        <f>IFERROR(VLOOKUP(B72,'Mandatory Training'!A:C,3,FALSE),0)</f>
        <v>0.65827922077922074</v>
      </c>
      <c r="E72" s="24">
        <f>IFERROR(VLOOKUP(B72,'Previous Dashboard'!B:CR,3,FALSE),0)</f>
        <v>0.56587202007528226</v>
      </c>
      <c r="F72" s="63">
        <f>IF(D72&gt;=Benchmark!C$4,1,0)</f>
        <v>0</v>
      </c>
      <c r="G72" s="24">
        <f>IFERROR(VLOOKUP(B72,Appraisals!A:C,3,FALSE),0)</f>
        <v>0.85792682926829267</v>
      </c>
      <c r="H72" s="24">
        <f>IFERROR(VLOOKUP(B72,'Previous Dashboard'!B:CR,6,FALSE),0)</f>
        <v>0.83156581409856523</v>
      </c>
      <c r="I72" s="63">
        <f>IF(G72&gt;=Benchmark!E$4,1,0)</f>
        <v>0</v>
      </c>
      <c r="J72" s="59">
        <f>AVERAGE(D72,G72)</f>
        <v>0.7581030250237567</v>
      </c>
      <c r="K72" s="91">
        <f>AVERAGE(E72, H72)</f>
        <v>0.69871891708692369</v>
      </c>
      <c r="L72" s="63">
        <f>IF(J72&gt;=Benchmark!G$4,1,0)</f>
        <v>0</v>
      </c>
      <c r="M72" s="42">
        <f>IFERROR(VLOOKUP(B72,Stress!A:D,4,FALSE),"-")</f>
        <v>1.5149149888317E-2</v>
      </c>
      <c r="N72" s="60">
        <f>IFERROR(VLOOKUP(B72,'Previous Dashboard'!B:CR,12,FALSE),0)</f>
        <v>1.0475780658316201E-2</v>
      </c>
      <c r="O72" s="43">
        <f>IFERROR(VLOOKUP(B72,'Musculo Skeletal'!A:D,4,FALSE),"-")</f>
        <v>8.1340159128144695E-3</v>
      </c>
      <c r="P72" s="43">
        <f>IFERROR(VLOOKUP(B72,'Previous Dashboard'!B:CR,14,FALSE),0)</f>
        <v>6.8361539529591397E-3</v>
      </c>
      <c r="Q72" s="43">
        <f>IFERROR(VLOOKUP(B72,'All Sickness'!A:D,4,FALSE),"-")</f>
        <v>6.4591842913444705E-2</v>
      </c>
      <c r="R72" s="43">
        <f>IFERROR(VLOOKUP(B72,'Previous Dashboard'!B:CR,16,FALSE),0)</f>
        <v>6.3424781734910798E-2</v>
      </c>
      <c r="S72" s="63">
        <f>IF(Q72&lt;=Benchmark!K$4,1,0)</f>
        <v>0</v>
      </c>
      <c r="T72" s="44">
        <f>IFERROR(VLOOKUP(B72,LT.ST!A:C,3,FALSE),"-")</f>
        <v>3.1318953903200698E-2</v>
      </c>
      <c r="U72" s="43">
        <f>IFERROR(VLOOKUP(B72,'Previous Dashboard'!B:CR,19,FALSE),0)</f>
        <v>2.81593989737891E-2</v>
      </c>
      <c r="V72" s="42">
        <f>IFERROR(VLOOKUP(B72,Turnover!A:C,2,FALSE),0)</f>
        <v>2.89229440966976E-2</v>
      </c>
      <c r="W72" s="60">
        <f>IFERROR(VLOOKUP(B72,'Previous Dashboard'!B:CR,21,FALSE),0)</f>
        <v>3.4415160095839697E-2</v>
      </c>
      <c r="X72" s="432">
        <f>IF(V72&lt;=Benchmark!N$4,1,0)</f>
        <v>1</v>
      </c>
      <c r="Y72" s="325">
        <f>IFERROR(VLOOKUP(B72,Leavers!A:I,6,FALSE),0)</f>
        <v>67</v>
      </c>
      <c r="Z72" s="435">
        <f t="shared" si="22"/>
        <v>1</v>
      </c>
      <c r="AA72" s="298">
        <f>IFERROR(VLOOKUP(B72,'Previous Dashboard'!B:CR,25,FALSE),0)</f>
        <v>1</v>
      </c>
      <c r="AB72" s="188">
        <f>IFERROR(VLOOKUP(VLOOKUP($B72,'Pulse Mapping'!$A:$C,3,FALSE),'Pulse Survey'!$A:$J,2,FALSE),0)</f>
        <v>282</v>
      </c>
      <c r="AC72" s="25">
        <f>IFERROR(VLOOKUP(B72,'Previous Dashboard'!B:CR,27,FALSE),0)</f>
        <v>227</v>
      </c>
      <c r="AD72" s="52">
        <f t="shared" si="23"/>
        <v>0.1080873898045228</v>
      </c>
      <c r="AE72" s="403">
        <f>IFERROR(VLOOKUP(B72,'Staff Engagement'!A:E,5,FALSE),0)</f>
        <v>6.2401497241922774</v>
      </c>
      <c r="AF72" s="409">
        <f>IFERROR(VLOOKUP(B72,'Previous Dashboard'!B:CQ,30,FALSE),0)</f>
        <v>6.551639745472345</v>
      </c>
      <c r="AG72" s="359">
        <f>IFERROR(VLOOKUP(B72,'Staff Engagement'!A:E,2,FALSE),0)</f>
        <v>6.1140661938534278</v>
      </c>
      <c r="AH72" s="409">
        <f>IFERROR(VLOOKUP(B72,'Previous Dashboard'!B:CQ,32,FALSE),0)</f>
        <v>6.4831130690161531</v>
      </c>
      <c r="AI72" s="359">
        <f>IFERROR(VLOOKUP(B72,'Staff Engagement'!A:E,3,FALSE),0)</f>
        <v>5.9781323877068555</v>
      </c>
      <c r="AJ72" s="409">
        <f>IFERROR(VLOOKUP(B72,'Previous Dashboard'!B:CQ,34,FALSE),0)</f>
        <v>6.2444933920704848</v>
      </c>
      <c r="AK72" s="359">
        <f>IFERROR(VLOOKUP(B72,'Staff Engagement'!A:E,4,FALSE),0)</f>
        <v>6.6282505910165481</v>
      </c>
      <c r="AL72" s="271">
        <f>IFERROR(VLOOKUP(B72,'Previous Dashboard'!B:CQ,36,FALSE),0)</f>
        <v>6.9273127753303969</v>
      </c>
      <c r="AM72" s="386">
        <f>IFERROR(VLOOKUP(B72,'Patient Experience'!A:K,9,FALSE),0)</f>
        <v>0.9490806223479491</v>
      </c>
      <c r="AN72" s="60">
        <f>IFERROR(VLOOKUP(VLOOKUP($B72,'Pulse Mapping'!$A:$C,3,FALSE),'Pulse Survey'!$A:$J,'Pulse Survey'!C$1,FALSE),0)</f>
        <v>0.5071</v>
      </c>
      <c r="AO72" s="63">
        <f>IF(AN72&gt;=Benchmark!R$4,1,0)</f>
        <v>0</v>
      </c>
      <c r="AP72" s="43">
        <f>IFERROR(VLOOKUP(B72,'Previous Dashboard'!B:CR,39,FALSE),0)</f>
        <v>0.57268722466960353</v>
      </c>
      <c r="AQ72" s="43">
        <f>IFERROR(VLOOKUP(VLOOKUP($B72,'Pulse Mapping'!$A:$C,3,FALSE),'Pulse Survey'!$A:$J,'Pulse Survey'!D$1,FALSE),0)</f>
        <v>0.54610000000000003</v>
      </c>
      <c r="AR72" s="63">
        <f>IF(AQ72&gt;=Benchmark!T$4,1,0)</f>
        <v>0</v>
      </c>
      <c r="AS72" s="24">
        <f>IFERROR(VLOOKUP(B72,'Previous Dashboard'!B:CR,42,FALSE),0)</f>
        <v>0.62114537444933915</v>
      </c>
      <c r="AT72" s="43">
        <f>IFERROR(VLOOKUP(VLOOKUP($B72,'Pulse Mapping'!$A:$C,3,FALSE),'Pulse Survey'!$A:$J,'Pulse Survey'!E$1,FALSE),0)</f>
        <v>0.47520000000000001</v>
      </c>
      <c r="AU72" s="63">
        <f>IF(AT72&gt;=Benchmark!V$4,1,0)</f>
        <v>0</v>
      </c>
      <c r="AV72" s="24">
        <f>IFERROR(VLOOKUP(B72,'Previous Dashboard'!B:CR,45,FALSE),0)</f>
        <v>0.48898678414096919</v>
      </c>
      <c r="AW72" s="43">
        <f>IFERROR(VLOOKUP(VLOOKUP($B72,'Pulse Mapping'!$A:$C,3,FALSE),'Pulse Survey'!$A:$J,'Pulse Survey'!F$1,FALSE),0)</f>
        <v>0.54259999999999997</v>
      </c>
      <c r="AX72" s="63">
        <f>IF(AW72&gt;=Benchmark!X$4,1,0)</f>
        <v>0</v>
      </c>
      <c r="AY72" s="24">
        <f>IFERROR(VLOOKUP(B72,'Previous Dashboard'!B:CR,48,FALSE),0)</f>
        <v>0.62114537444933915</v>
      </c>
      <c r="AZ72" s="43">
        <f>IFERROR(VLOOKUP(VLOOKUP($B72,'Pulse Mapping'!$A:$C,3,FALSE),'Pulse Survey'!$A:$J,'Pulse Survey'!G$1,FALSE),0)</f>
        <v>0.57089999999999996</v>
      </c>
      <c r="BA72" s="63">
        <f>IF(AZ72&gt;=Benchmark!Z$4,1,0)</f>
        <v>0</v>
      </c>
      <c r="BB72" s="24">
        <f>IFERROR(VLOOKUP(B72,'Previous Dashboard'!B:CR,51,FALSE),0)</f>
        <v>0.67400881057268713</v>
      </c>
      <c r="BC72" s="43">
        <f>IFERROR(VLOOKUP(VLOOKUP($B72,'Pulse Mapping'!$A:$C,3,FALSE),'Pulse Survey'!$A:$J,'Pulse Survey'!H$1,FALSE),0)</f>
        <v>0.55669999999999997</v>
      </c>
      <c r="BD72" s="63">
        <f>IF(BC72&gt;=Benchmark!AB$4,1,0)</f>
        <v>0</v>
      </c>
      <c r="BE72" s="24">
        <f>IFERROR(VLOOKUP(B72,'Previous Dashboard'!B:CR,54,FALSE),0)</f>
        <v>0.59030837004405279</v>
      </c>
      <c r="BF72" s="43">
        <f>IFERROR(VLOOKUP(VLOOKUP($B72,'Pulse Mapping'!$A:$C,3,FALSE),'Pulse Survey'!$A:$J,'Pulse Survey'!I$1,FALSE),0)</f>
        <v>0.62409999999999999</v>
      </c>
      <c r="BG72" s="63">
        <f>IF(BF72&gt;=Benchmark!AD$4,1,0)</f>
        <v>0</v>
      </c>
      <c r="BH72" s="91">
        <f>IFERROR(VLOOKUP(B72,'Previous Dashboard'!B:CR,57,FALSE),0)</f>
        <v>0.63436123348017626</v>
      </c>
      <c r="BI72" s="44">
        <f>IFERROR(VLOOKUP(VLOOKUP($B72,'Pulse Mapping'!$A:$C,3,FALSE),'Pulse Survey'!$A:$J,'Pulse Survey'!J$1,FALSE),0)</f>
        <v>0.51419999999999999</v>
      </c>
      <c r="BJ72" s="63">
        <f>IF(BI72&gt;=Benchmark!AF$4,1,0)</f>
        <v>0</v>
      </c>
      <c r="BK72" s="145">
        <f>IFERROR(VLOOKUP(B72,'Previous Dashboard'!B:CR,60,FALSE),0)</f>
        <v>0.57268722466960353</v>
      </c>
      <c r="BL72" s="224">
        <f t="shared" si="24"/>
        <v>0</v>
      </c>
      <c r="BM72" s="325">
        <f>IFERROR(VLOOKUP(B72,'Previous Dashboard'!B:CR,63,FALSE),0)</f>
        <v>1</v>
      </c>
      <c r="BN72" s="423">
        <f>SUM(BJ72, BG72, BD72, BA72, AX72, AU72, AR72, AO72, X72, S72, L72)</f>
        <v>1</v>
      </c>
      <c r="BO72" s="190">
        <f>IFERROR(VLOOKUP(B72,'Previous Dashboard'!B:CR,65,FALSE),0)</f>
        <v>2</v>
      </c>
      <c r="BP72" s="25">
        <f>IFERROR(VLOOKUP(B72,'Previous Dashboard'!B:CR,66,FALSE),0)</f>
        <v>1</v>
      </c>
      <c r="BQ72" s="288">
        <f>IFERROR(VLOOKUP(B72,'Previous Dashboard'!B:CR,67,FALSE),0)</f>
        <v>1</v>
      </c>
      <c r="BR72" s="98"/>
      <c r="BS72" s="136">
        <f>IFERROR(VLOOKUP(B72,'Staff Survey'!B:L,3,FALSE),"-")</f>
        <v>7.1</v>
      </c>
      <c r="BT72" s="394" t="s">
        <v>389</v>
      </c>
      <c r="BU72" s="136">
        <f>IFERROR(VLOOKUP(B72,'Staff Survey'!B:M,4,FALSE),"-")</f>
        <v>5.6</v>
      </c>
      <c r="BV72" s="394" t="s">
        <v>389</v>
      </c>
      <c r="BW72" s="136">
        <f>IFERROR(VLOOKUP(B72,'Staff Survey'!B:M,5,FALSE),"-")</f>
        <v>6.5</v>
      </c>
      <c r="BX72" s="394" t="s">
        <v>389</v>
      </c>
      <c r="BY72" s="136">
        <f>IFERROR(VLOOKUP(B72,'Staff Survey'!B:M,6,FALSE),"-")</f>
        <v>5.6</v>
      </c>
      <c r="BZ72" s="394" t="s">
        <v>389</v>
      </c>
      <c r="CA72" s="136">
        <f>IFERROR(VLOOKUP(B72,'Staff Survey'!B:M,7,FALSE),"-")</f>
        <v>5.3</v>
      </c>
      <c r="CB72" s="394" t="s">
        <v>389</v>
      </c>
      <c r="CC72" s="136">
        <f>IFERROR(VLOOKUP(B72,'Staff Survey'!B:M,8,FALSE),"-")</f>
        <v>5.7</v>
      </c>
      <c r="CD72" s="394" t="s">
        <v>389</v>
      </c>
      <c r="CE72" s="136">
        <f>IFERROR(VLOOKUP(B72,'Staff Survey'!B:M,9,FALSE),"-")</f>
        <v>6.4</v>
      </c>
      <c r="CF72" s="394" t="s">
        <v>389</v>
      </c>
      <c r="CG72" s="136">
        <f>IFERROR(VLOOKUP(B72,'Staff Survey'!B:L,10,FALSE),"-")</f>
        <v>6.6</v>
      </c>
      <c r="CH72" s="137">
        <v>6.9</v>
      </c>
      <c r="CI72" s="403">
        <f>IFERROR(VLOOKUP(B72,'Staff Survey'!B:L,11,FALSE),"-")</f>
        <v>5.6</v>
      </c>
      <c r="CJ72" s="368">
        <v>6.1</v>
      </c>
      <c r="CL72" s="266">
        <f>IFERROR(VLOOKUP(B72,'LfE . HR Ops . F2SU'!A:B,2,FALSE),0)</f>
        <v>286</v>
      </c>
      <c r="CM72" s="119">
        <f>IFERROR(VLOOKUP(B72,'Previous Dashboard'!B:CR,89,FALSE),0)</f>
        <v>277</v>
      </c>
      <c r="CN72" s="119">
        <f>IFERROR(VLOOKUP(B72,'LfE . HR Ops . F2SU'!A:D,3,FALSE),0)</f>
        <v>7</v>
      </c>
      <c r="CO72" s="130">
        <f>IFERROR(VLOOKUP(B72,'Previous Dashboard'!B:CR,91,FALSE),0)</f>
        <v>7</v>
      </c>
      <c r="CP72" s="119">
        <f>IFERROR(VLOOKUP(B72,'LfE . HR Ops . F2SU'!A:D,4,FALSE),0)</f>
        <v>7</v>
      </c>
      <c r="CQ72" s="414">
        <f>IFERROR(VLOOKUP(B72,'Previous Dashboard'!B:CR,93,FALSE),0)</f>
        <v>7</v>
      </c>
    </row>
    <row r="73" spans="2:95" ht="15.75" thickBot="1" x14ac:dyDescent="0.3">
      <c r="B73" s="254" t="s">
        <v>61</v>
      </c>
      <c r="C73" s="255">
        <f>IFERROR(VLOOKUP(B73,'Staff In Post'!A:C,3,FALSE),0)</f>
        <v>876</v>
      </c>
      <c r="D73" s="250">
        <f>IFERROR(VLOOKUP(B73,'Mandatory Training'!A:C,3,FALSE),0)</f>
        <v>0.59375</v>
      </c>
      <c r="E73" s="24">
        <f>IFERROR(VLOOKUP(B73,'Previous Dashboard'!B:CR,3,FALSE),0)</f>
        <v>0.55374999999999996</v>
      </c>
      <c r="F73" s="228">
        <f>IF(D73&gt;=Benchmark!C$4,1,0)</f>
        <v>0</v>
      </c>
      <c r="G73" s="230">
        <f>IFERROR(VLOOKUP(B73,Appraisals!A:C,3,FALSE),0)</f>
        <v>0.8930390492359932</v>
      </c>
      <c r="H73" s="24">
        <f>IFERROR(VLOOKUP(B73,'Previous Dashboard'!B:CR,6,FALSE),0)</f>
        <v>0.875</v>
      </c>
      <c r="I73" s="228">
        <f>IF(G73&gt;=Benchmark!E$4,1,0)</f>
        <v>0</v>
      </c>
      <c r="J73" s="251">
        <f>AVERAGE(D73,G73)</f>
        <v>0.7433945246179966</v>
      </c>
      <c r="K73" s="231">
        <f>AVERAGE(E73, H73)</f>
        <v>0.71437499999999998</v>
      </c>
      <c r="L73" s="228">
        <f>IF(J73&gt;=Benchmark!G$4,1,0)</f>
        <v>0</v>
      </c>
      <c r="M73" s="249">
        <f>IFERROR(VLOOKUP(B73,Stress!A:D,4,FALSE),"-")</f>
        <v>1.29194490763773E-2</v>
      </c>
      <c r="N73" s="60">
        <f>IFERROR(VLOOKUP(B73,'Previous Dashboard'!B:CR,12,FALSE),0)</f>
        <v>1.4846330624502101E-2</v>
      </c>
      <c r="O73" s="229">
        <f>IFERROR(VLOOKUP(B73,'Musculo Skeletal'!A:D,4,FALSE),"-")</f>
        <v>4.1447886643795704E-3</v>
      </c>
      <c r="P73" s="43">
        <f>IFERROR(VLOOKUP(B73,'Previous Dashboard'!B:CR,14,FALSE),0)</f>
        <v>3.6747548011897301E-3</v>
      </c>
      <c r="Q73" s="229">
        <f>IFERROR(VLOOKUP(B73,'All Sickness'!A:D,4,FALSE),"-")</f>
        <v>6.0147999705398802E-2</v>
      </c>
      <c r="R73" s="43">
        <f>IFERROR(VLOOKUP(B73,'Previous Dashboard'!B:CR,16,FALSE),0)</f>
        <v>6.0017691452892999E-2</v>
      </c>
      <c r="S73" s="228">
        <f>IF(Q73&lt;=Benchmark!K$4,1,0)</f>
        <v>0</v>
      </c>
      <c r="T73" s="234">
        <f>IFERROR(VLOOKUP(B73,LT.ST!A:C,3,FALSE),"-")</f>
        <v>3.0730409383293699E-2</v>
      </c>
      <c r="U73" s="43">
        <f>IFERROR(VLOOKUP(B73,'Previous Dashboard'!B:CR,19,FALSE),0)</f>
        <v>2.8245612052262999E-2</v>
      </c>
      <c r="V73" s="249">
        <f>IFERROR(VLOOKUP(B73,Turnover!A:C,2,FALSE),0)</f>
        <v>2.58397932816537E-2</v>
      </c>
      <c r="W73" s="60">
        <f>IFERROR(VLOOKUP(B73,'Previous Dashboard'!B:CR,21,FALSE),0)</f>
        <v>2.6178010471204199E-2</v>
      </c>
      <c r="X73" s="433">
        <f>IF(V73&lt;=Benchmark!N$4,1,0)</f>
        <v>1</v>
      </c>
      <c r="Y73" s="326">
        <f>IFERROR(VLOOKUP(B73,Leavers!A:I,6,FALSE),0)</f>
        <v>20</v>
      </c>
      <c r="Z73" s="436">
        <f t="shared" si="22"/>
        <v>1</v>
      </c>
      <c r="AA73" s="298">
        <f>IFERROR(VLOOKUP(B73,'Previous Dashboard'!B:CR,25,FALSE),0)</f>
        <v>1</v>
      </c>
      <c r="AB73" s="189">
        <f>IFERROR(VLOOKUP(VLOOKUP($B73,'Pulse Mapping'!$A:$C,3,FALSE),'Pulse Survey'!$A:$J,2,FALSE),0)</f>
        <v>108</v>
      </c>
      <c r="AC73" s="25">
        <f>IFERROR(VLOOKUP(B73,'Previous Dashboard'!B:CR,27,FALSE),0)</f>
        <v>141</v>
      </c>
      <c r="AD73" s="54">
        <f t="shared" si="23"/>
        <v>0.12328767123287671</v>
      </c>
      <c r="AE73" s="422">
        <f>IFERROR(VLOOKUP(B73,'Staff Engagement'!A:E,5,FALSE),0)</f>
        <v>6.9007201646090541</v>
      </c>
      <c r="AF73" s="516">
        <f>IFERROR(VLOOKUP(B73,'Previous Dashboard'!B:CQ,30,FALSE),0)</f>
        <v>6.8676122931442078</v>
      </c>
      <c r="AG73" s="360">
        <f>IFERROR(VLOOKUP(B73,'Staff Engagement'!A:E,2,FALSE),0)</f>
        <v>6.9135802469135799</v>
      </c>
      <c r="AH73" s="516">
        <f>IFERROR(VLOOKUP(B73,'Previous Dashboard'!B:CQ,32,FALSE),0)</f>
        <v>6.8853427895981083</v>
      </c>
      <c r="AI73" s="360">
        <f>IFERROR(VLOOKUP(B73,'Staff Engagement'!A:E,3,FALSE),0)</f>
        <v>6.5277777777777777</v>
      </c>
      <c r="AJ73" s="516">
        <f>IFERROR(VLOOKUP(B73,'Previous Dashboard'!B:CQ,34,FALSE),0)</f>
        <v>6.7316784869976356</v>
      </c>
      <c r="AK73" s="360">
        <f>IFERROR(VLOOKUP(B73,'Staff Engagement'!A:E,4,FALSE),0)</f>
        <v>7.2608024691358022</v>
      </c>
      <c r="AL73" s="378">
        <f>IFERROR(VLOOKUP(B73,'Previous Dashboard'!B:CQ,36,FALSE),0)</f>
        <v>6.9858156028368796</v>
      </c>
      <c r="AM73" s="492">
        <f>IFERROR(VLOOKUP(B73,'Patient Experience'!A:K,9,FALSE),0)</f>
        <v>0.9705056179775281</v>
      </c>
      <c r="AN73" s="227">
        <f>IFERROR(VLOOKUP(VLOOKUP($B73,'Pulse Mapping'!$A:$C,3,FALSE),'Pulse Survey'!$A:$J,'Pulse Survey'!C$1,FALSE),0)</f>
        <v>0.53700000000000003</v>
      </c>
      <c r="AO73" s="228">
        <f>IF(AN73&gt;=Benchmark!R$4,1,0)</f>
        <v>0</v>
      </c>
      <c r="AP73" s="43">
        <f>IFERROR(VLOOKUP(B73,'Previous Dashboard'!B:CR,39,FALSE),0)</f>
        <v>0.62411347517730498</v>
      </c>
      <c r="AQ73" s="229">
        <f>IFERROR(VLOOKUP(VLOOKUP($B73,'Pulse Mapping'!$A:$C,3,FALSE),'Pulse Survey'!$A:$J,'Pulse Survey'!D$1,FALSE),0)</f>
        <v>0.71299999999999997</v>
      </c>
      <c r="AR73" s="228">
        <f>IF(AQ73&gt;=Benchmark!T$4,1,0)</f>
        <v>1</v>
      </c>
      <c r="AS73" s="24">
        <f>IFERROR(VLOOKUP(B73,'Previous Dashboard'!B:CR,42,FALSE),0)</f>
        <v>0.65957446808510634</v>
      </c>
      <c r="AT73" s="229">
        <f>IFERROR(VLOOKUP(VLOOKUP($B73,'Pulse Mapping'!$A:$C,3,FALSE),'Pulse Survey'!$A:$J,'Pulse Survey'!E$1,FALSE),0)</f>
        <v>0.57410000000000005</v>
      </c>
      <c r="AU73" s="228">
        <f>IF(AT73&gt;=Benchmark!V$4,1,0)</f>
        <v>0</v>
      </c>
      <c r="AV73" s="24">
        <f>IFERROR(VLOOKUP(B73,'Previous Dashboard'!B:CR,45,FALSE),0)</f>
        <v>0.49645390070921985</v>
      </c>
      <c r="AW73" s="43">
        <f>IFERROR(VLOOKUP(VLOOKUP($B73,'Pulse Mapping'!$A:$C,3,FALSE),'Pulse Survey'!$A:$J,'Pulse Survey'!F$1,FALSE),0)</f>
        <v>0.62960000000000005</v>
      </c>
      <c r="AX73" s="228">
        <f>IF(AW73&gt;=Benchmark!X$4,1,0)</f>
        <v>0</v>
      </c>
      <c r="AY73" s="24">
        <f>IFERROR(VLOOKUP(B73,'Previous Dashboard'!B:CR,48,FALSE),0)</f>
        <v>0.68085106382978722</v>
      </c>
      <c r="AZ73" s="229">
        <f>IFERROR(VLOOKUP(VLOOKUP($B73,'Pulse Mapping'!$A:$C,3,FALSE),'Pulse Survey'!$A:$J,'Pulse Survey'!G$1,FALSE),0)</f>
        <v>0.73150000000000004</v>
      </c>
      <c r="BA73" s="228">
        <f>IF(AZ73&gt;=Benchmark!Z$4,1,0)</f>
        <v>1</v>
      </c>
      <c r="BB73" s="24">
        <f>IFERROR(VLOOKUP(B73,'Previous Dashboard'!B:CR,51,FALSE),0)</f>
        <v>0.8085106382978724</v>
      </c>
      <c r="BC73" s="229">
        <f>IFERROR(VLOOKUP(VLOOKUP($B73,'Pulse Mapping'!$A:$C,3,FALSE),'Pulse Survey'!$A:$J,'Pulse Survey'!H$1,FALSE),0)</f>
        <v>0.62960000000000005</v>
      </c>
      <c r="BD73" s="228">
        <f>IF(BC73&gt;=Benchmark!AB$4,1,0)</f>
        <v>0</v>
      </c>
      <c r="BE73" s="24">
        <f>IFERROR(VLOOKUP(B73,'Previous Dashboard'!B:CR,54,FALSE),0)</f>
        <v>0.68794326241134751</v>
      </c>
      <c r="BF73" s="229">
        <f>IFERROR(VLOOKUP(VLOOKUP($B73,'Pulse Mapping'!$A:$C,3,FALSE),'Pulse Survey'!$A:$J,'Pulse Survey'!I$1,FALSE),0)</f>
        <v>0.69440000000000002</v>
      </c>
      <c r="BG73" s="228">
        <f>IF(BF73&gt;=Benchmark!AD$4,1,0)</f>
        <v>1</v>
      </c>
      <c r="BH73" s="91">
        <f>IFERROR(VLOOKUP(B73,'Previous Dashboard'!B:CR,57,FALSE),0)</f>
        <v>0.75886524822695034</v>
      </c>
      <c r="BI73" s="234">
        <f>IFERROR(VLOOKUP(VLOOKUP($B73,'Pulse Mapping'!$A:$C,3,FALSE),'Pulse Survey'!$A:$J,'Pulse Survey'!J$1,FALSE),0)</f>
        <v>0.62039999999999995</v>
      </c>
      <c r="BJ73" s="228">
        <f>IF(BI73&gt;=Benchmark!AF$4,1,0)</f>
        <v>0</v>
      </c>
      <c r="BK73" s="145">
        <f>IFERROR(VLOOKUP(B73,'Previous Dashboard'!B:CR,60,FALSE),0)</f>
        <v>0.65248226950354604</v>
      </c>
      <c r="BL73" s="233">
        <f t="shared" si="24"/>
        <v>3</v>
      </c>
      <c r="BM73" s="325">
        <f>IFERROR(VLOOKUP(B73,'Previous Dashboard'!B:CR,63,FALSE),0)</f>
        <v>4</v>
      </c>
      <c r="BN73" s="424">
        <f>SUM(BJ73, BG73, BD73, BA73, AX73, AU73, AR73, AO73, X73, S73, L73)</f>
        <v>4</v>
      </c>
      <c r="BO73" s="192">
        <f>IFERROR(VLOOKUP(B73,'Previous Dashboard'!B:CR,65,FALSE),0)</f>
        <v>5</v>
      </c>
      <c r="BP73" s="292">
        <f>IFERROR(VLOOKUP(B73,'Previous Dashboard'!B:CR,66,FALSE),0)</f>
        <v>6</v>
      </c>
      <c r="BQ73" s="290">
        <f>IFERROR(VLOOKUP(B73,'Previous Dashboard'!B:CR,67,FALSE),0)</f>
        <v>5</v>
      </c>
      <c r="BR73" s="98"/>
      <c r="BS73" s="366">
        <f>IFERROR(VLOOKUP(B73,'Staff Survey'!B:L,3,FALSE),"-")</f>
        <v>7.2</v>
      </c>
      <c r="BT73" s="413" t="s">
        <v>389</v>
      </c>
      <c r="BU73" s="366">
        <f>IFERROR(VLOOKUP(B73,'Staff Survey'!B:M,4,FALSE),"-")</f>
        <v>5.8</v>
      </c>
      <c r="BV73" s="413" t="s">
        <v>389</v>
      </c>
      <c r="BW73" s="366">
        <f>IFERROR(VLOOKUP(B73,'Staff Survey'!B:M,5,FALSE),"-")</f>
        <v>6.6</v>
      </c>
      <c r="BX73" s="413" t="s">
        <v>389</v>
      </c>
      <c r="BY73" s="366">
        <f>IFERROR(VLOOKUP(B73,'Staff Survey'!B:M,6,FALSE),"-")</f>
        <v>5.6</v>
      </c>
      <c r="BZ73" s="413" t="s">
        <v>389</v>
      </c>
      <c r="CA73" s="366">
        <f>IFERROR(VLOOKUP(B73,'Staff Survey'!B:M,7,FALSE),"-")</f>
        <v>5.3</v>
      </c>
      <c r="CB73" s="413" t="s">
        <v>389</v>
      </c>
      <c r="CC73" s="366">
        <f>IFERROR(VLOOKUP(B73,'Staff Survey'!B:M,8,FALSE),"-")</f>
        <v>5.2</v>
      </c>
      <c r="CD73" s="413" t="s">
        <v>389</v>
      </c>
      <c r="CE73" s="366">
        <f>IFERROR(VLOOKUP(B73,'Staff Survey'!B:M,9,FALSE),"-")</f>
        <v>6.3</v>
      </c>
      <c r="CF73" s="413" t="s">
        <v>389</v>
      </c>
      <c r="CG73" s="366">
        <f>IFERROR(VLOOKUP(B73,'Staff Survey'!B:L,10,FALSE),"-")</f>
        <v>6.7</v>
      </c>
      <c r="CH73" s="142">
        <v>7.1</v>
      </c>
      <c r="CI73" s="422">
        <f>IFERROR(VLOOKUP(B73,'Staff Survey'!B:L,11,FALSE),"-")</f>
        <v>5.4</v>
      </c>
      <c r="CJ73" s="421">
        <v>6.5</v>
      </c>
      <c r="CL73" s="538">
        <f>IFERROR(VLOOKUP(B73,'LfE . HR Ops . F2SU'!A:B,2,FALSE),0)</f>
        <v>146</v>
      </c>
      <c r="CM73" s="539">
        <f>IFERROR(VLOOKUP(B73,'Previous Dashboard'!B:CR,89,FALSE),0)</f>
        <v>186</v>
      </c>
      <c r="CN73" s="539">
        <f>IFERROR(VLOOKUP(B73,'LfE . HR Ops . F2SU'!A:D,3,FALSE),0)</f>
        <v>2</v>
      </c>
      <c r="CO73" s="540">
        <f>IFERROR(VLOOKUP(B73,'Previous Dashboard'!B:CR,91,FALSE),0)</f>
        <v>2</v>
      </c>
      <c r="CP73" s="539">
        <f>IFERROR(VLOOKUP(B73,'LfE . HR Ops . F2SU'!A:D,4,FALSE),0)</f>
        <v>5</v>
      </c>
      <c r="CQ73" s="414">
        <f>IFERROR(VLOOKUP(B73,'Previous Dashboard'!B:CR,93,FALSE),0)</f>
        <v>3</v>
      </c>
    </row>
  </sheetData>
  <autoFilter ref="A5:BQ62" xr:uid="{00000000-0009-0000-0000-000009000000}"/>
  <mergeCells count="24">
    <mergeCell ref="A58:A62"/>
    <mergeCell ref="BO3:BQ3"/>
    <mergeCell ref="D65:Z65"/>
    <mergeCell ref="AB65:BL65"/>
    <mergeCell ref="A6:A19"/>
    <mergeCell ref="A20:A36"/>
    <mergeCell ref="A37:A43"/>
    <mergeCell ref="A44:A48"/>
    <mergeCell ref="A49:A57"/>
    <mergeCell ref="V3:Z3"/>
    <mergeCell ref="AE3:AK3"/>
    <mergeCell ref="D2:Z2"/>
    <mergeCell ref="AB2:BL2"/>
    <mergeCell ref="M3:T3"/>
    <mergeCell ref="AB3:AD3"/>
    <mergeCell ref="AN3:BL3"/>
    <mergeCell ref="BS3:CI3"/>
    <mergeCell ref="BS66:CI66"/>
    <mergeCell ref="AE66:AK66"/>
    <mergeCell ref="M66:T66"/>
    <mergeCell ref="V66:Y66"/>
    <mergeCell ref="AB66:AD66"/>
    <mergeCell ref="AN66:BL66"/>
    <mergeCell ref="BO66:BQ66"/>
  </mergeCells>
  <conditionalFormatting sqref="CG6">
    <cfRule type="iconSet" priority="2023">
      <iconSet iconSet="3Arrows">
        <cfvo type="percent" val="0"/>
        <cfvo type="formula" val="$CH$6"/>
        <cfvo type="formula" val="$CH$6" gte="0"/>
      </iconSet>
    </cfRule>
  </conditionalFormatting>
  <conditionalFormatting sqref="CG37">
    <cfRule type="iconSet" priority="2022">
      <iconSet iconSet="3Arrows">
        <cfvo type="percent" val="0"/>
        <cfvo type="formula" val="$CH$37"/>
        <cfvo type="formula" val="$CH$37" gte="0"/>
      </iconSet>
    </cfRule>
  </conditionalFormatting>
  <conditionalFormatting sqref="CG20">
    <cfRule type="iconSet" priority="2021">
      <iconSet iconSet="3Arrows">
        <cfvo type="percent" val="0"/>
        <cfvo type="formula" val="$CH$20"/>
        <cfvo type="formula" val="$CH$20" gte="0"/>
      </iconSet>
    </cfRule>
  </conditionalFormatting>
  <conditionalFormatting sqref="CG38">
    <cfRule type="iconSet" priority="2020">
      <iconSet iconSet="3Arrows">
        <cfvo type="percent" val="0"/>
        <cfvo type="formula" val="$CH$38"/>
        <cfvo type="formula" val="$CH$38" gte="0"/>
      </iconSet>
    </cfRule>
  </conditionalFormatting>
  <conditionalFormatting sqref="CG7">
    <cfRule type="iconSet" priority="2019">
      <iconSet iconSet="3Arrows">
        <cfvo type="percent" val="0"/>
        <cfvo type="formula" val="$CH$7"/>
        <cfvo type="formula" val="$CH$7" gte="0"/>
      </iconSet>
    </cfRule>
  </conditionalFormatting>
  <conditionalFormatting sqref="CG21">
    <cfRule type="iconSet" priority="2018">
      <iconSet iconSet="3Arrows">
        <cfvo type="percent" val="0"/>
        <cfvo type="formula" val="$CH$21"/>
        <cfvo type="formula" val="$CH$21" gte="0"/>
      </iconSet>
    </cfRule>
  </conditionalFormatting>
  <conditionalFormatting sqref="CG22">
    <cfRule type="iconSet" priority="2017">
      <iconSet iconSet="3Arrows">
        <cfvo type="percent" val="0"/>
        <cfvo type="formula" val="$CH$22"/>
        <cfvo type="formula" val="$CH$22" gte="0"/>
      </iconSet>
    </cfRule>
  </conditionalFormatting>
  <conditionalFormatting sqref="CG39">
    <cfRule type="iconSet" priority="2016">
      <iconSet iconSet="3Arrows">
        <cfvo type="percent" val="0"/>
        <cfvo type="formula" val="$CH$39"/>
        <cfvo type="formula" val="$CH$39" gte="0"/>
      </iconSet>
    </cfRule>
  </conditionalFormatting>
  <conditionalFormatting sqref="CG23">
    <cfRule type="iconSet" priority="2015">
      <iconSet iconSet="3Arrows">
        <cfvo type="percent" val="0"/>
        <cfvo type="formula" val="$CH$23"/>
        <cfvo type="formula" val="$CH$23" gte="0"/>
      </iconSet>
    </cfRule>
  </conditionalFormatting>
  <conditionalFormatting sqref="CG24">
    <cfRule type="iconSet" priority="2014">
      <iconSet iconSet="3Arrows">
        <cfvo type="percent" val="0"/>
        <cfvo type="formula" val="$CH$24"/>
        <cfvo type="formula" val="$CH$24" gte="0"/>
      </iconSet>
    </cfRule>
  </conditionalFormatting>
  <conditionalFormatting sqref="CG25">
    <cfRule type="iconSet" priority="2013">
      <iconSet iconSet="3Arrows">
        <cfvo type="percent" val="0"/>
        <cfvo type="formula" val="$CH$25"/>
        <cfvo type="formula" val="$CH$25" gte="0"/>
      </iconSet>
    </cfRule>
  </conditionalFormatting>
  <conditionalFormatting sqref="CG8">
    <cfRule type="iconSet" priority="2012">
      <iconSet iconSet="3Arrows">
        <cfvo type="percent" val="0"/>
        <cfvo type="formula" val="$CH$8"/>
        <cfvo type="formula" val="$CH$8" gte="0"/>
      </iconSet>
    </cfRule>
  </conditionalFormatting>
  <conditionalFormatting sqref="CG52">
    <cfRule type="iconSet" priority="2011">
      <iconSet iconSet="3Arrows">
        <cfvo type="percent" val="0"/>
        <cfvo type="formula" val="$CH$52"/>
        <cfvo type="formula" val="$CH$52" gte="0"/>
      </iconSet>
    </cfRule>
  </conditionalFormatting>
  <conditionalFormatting sqref="CG53">
    <cfRule type="iconSet" priority="2010">
      <iconSet iconSet="3Arrows">
        <cfvo type="percent" val="0"/>
        <cfvo type="formula" val="$CH$53"/>
        <cfvo type="formula" val="$CH$53" gte="0"/>
      </iconSet>
    </cfRule>
  </conditionalFormatting>
  <conditionalFormatting sqref="CG26">
    <cfRule type="iconSet" priority="2009">
      <iconSet iconSet="3Arrows">
        <cfvo type="percent" val="0"/>
        <cfvo type="formula" val="$CH$26"/>
        <cfvo type="formula" val="$CH$26" gte="0"/>
      </iconSet>
    </cfRule>
  </conditionalFormatting>
  <conditionalFormatting sqref="CG9">
    <cfRule type="iconSet" priority="2008">
      <iconSet iconSet="3Arrows">
        <cfvo type="percent" val="0"/>
        <cfvo type="formula" val="$CH$9"/>
        <cfvo type="formula" val="$CH$9" gte="0"/>
      </iconSet>
    </cfRule>
  </conditionalFormatting>
  <conditionalFormatting sqref="CG10">
    <cfRule type="iconSet" priority="2007">
      <iconSet iconSet="3Arrows">
        <cfvo type="percent" val="0"/>
        <cfvo type="formula" val="$CH$10"/>
        <cfvo type="formula" val="$CH$10" gte="0"/>
      </iconSet>
    </cfRule>
  </conditionalFormatting>
  <conditionalFormatting sqref="CG40">
    <cfRule type="iconSet" priority="2006">
      <iconSet iconSet="3Arrows">
        <cfvo type="percent" val="0"/>
        <cfvo type="formula" val="$CH$40"/>
        <cfvo type="formula" val="$CH$40" gte="0"/>
      </iconSet>
    </cfRule>
  </conditionalFormatting>
  <conditionalFormatting sqref="CG11">
    <cfRule type="iconSet" priority="2005">
      <iconSet iconSet="3Arrows">
        <cfvo type="percent" val="0"/>
        <cfvo type="formula" val="$CH$11"/>
        <cfvo type="formula" val="$CH$11" gte="0"/>
      </iconSet>
    </cfRule>
  </conditionalFormatting>
  <conditionalFormatting sqref="CG27">
    <cfRule type="iconSet" priority="2004">
      <iconSet iconSet="3Arrows">
        <cfvo type="percent" val="0"/>
        <cfvo type="formula" val="$CH$27"/>
        <cfvo type="formula" val="$CH$27" gte="0"/>
      </iconSet>
    </cfRule>
  </conditionalFormatting>
  <conditionalFormatting sqref="CG41">
    <cfRule type="iconSet" priority="2003">
      <iconSet iconSet="3Arrows">
        <cfvo type="percent" val="0"/>
        <cfvo type="formula" val="$CH$41"/>
        <cfvo type="formula" val="$CH$41" gte="0"/>
      </iconSet>
    </cfRule>
  </conditionalFormatting>
  <conditionalFormatting sqref="CG12">
    <cfRule type="iconSet" priority="2002">
      <iconSet iconSet="3Arrows">
        <cfvo type="percent" val="0"/>
        <cfvo type="formula" val="$CH$12"/>
        <cfvo type="formula" val="$CH$12" gte="0"/>
      </iconSet>
    </cfRule>
  </conditionalFormatting>
  <conditionalFormatting sqref="CG44">
    <cfRule type="iconSet" priority="2001">
      <iconSet iconSet="3Arrows">
        <cfvo type="percent" val="0"/>
        <cfvo type="formula" val="$CH$44"/>
        <cfvo type="formula" val="$CH$44" gte="0"/>
      </iconSet>
    </cfRule>
  </conditionalFormatting>
  <conditionalFormatting sqref="CG13">
    <cfRule type="iconSet" priority="2000">
      <iconSet iconSet="3Arrows">
        <cfvo type="percent" val="0"/>
        <cfvo type="formula" val="$CH$13"/>
        <cfvo type="formula" val="$CH$13" gte="0"/>
      </iconSet>
    </cfRule>
  </conditionalFormatting>
  <conditionalFormatting sqref="CG45">
    <cfRule type="iconSet" priority="1999">
      <iconSet iconSet="3Arrows">
        <cfvo type="percent" val="0"/>
        <cfvo type="formula" val="$CH$45"/>
        <cfvo type="formula" val="$CH$45" gte="0"/>
      </iconSet>
    </cfRule>
  </conditionalFormatting>
  <conditionalFormatting sqref="CG54">
    <cfRule type="iconSet" priority="1998">
      <iconSet iconSet="3Arrows">
        <cfvo type="percent" val="0"/>
        <cfvo type="formula" val="$CH$54"/>
        <cfvo type="formula" val="$CH$54" gte="0"/>
      </iconSet>
    </cfRule>
  </conditionalFormatting>
  <conditionalFormatting sqref="CG42">
    <cfRule type="iconSet" priority="1997">
      <iconSet iconSet="3Arrows">
        <cfvo type="percent" val="0"/>
        <cfvo type="formula" val="$CH$42"/>
        <cfvo type="formula" val="$CH$42" gte="0"/>
      </iconSet>
    </cfRule>
  </conditionalFormatting>
  <conditionalFormatting sqref="CG43">
    <cfRule type="iconSet" priority="1996">
      <iconSet iconSet="3Arrows">
        <cfvo type="percent" val="0"/>
        <cfvo type="formula" val="$CH$43"/>
        <cfvo type="formula" val="$CH$43" gte="0"/>
      </iconSet>
    </cfRule>
  </conditionalFormatting>
  <conditionalFormatting sqref="CG16">
    <cfRule type="iconSet" priority="1995">
      <iconSet iconSet="3Arrows">
        <cfvo type="percent" val="0"/>
        <cfvo type="formula" val="$CH$16"/>
        <cfvo type="formula" val="$CH$16" gte="0"/>
      </iconSet>
    </cfRule>
  </conditionalFormatting>
  <conditionalFormatting sqref="CG29">
    <cfRule type="iconSet" priority="1993">
      <iconSet iconSet="3Arrows">
        <cfvo type="percent" val="0"/>
        <cfvo type="formula" val="$CH$29"/>
        <cfvo type="formula" val="$CH$29" gte="0"/>
      </iconSet>
    </cfRule>
  </conditionalFormatting>
  <conditionalFormatting sqref="CG18">
    <cfRule type="iconSet" priority="1992">
      <iconSet iconSet="3Arrows">
        <cfvo type="percent" val="0"/>
        <cfvo type="formula" val="$CH$18"/>
        <cfvo type="formula" val="$CH$18" gte="0"/>
      </iconSet>
    </cfRule>
  </conditionalFormatting>
  <conditionalFormatting sqref="CG30">
    <cfRule type="iconSet" priority="1991">
      <iconSet iconSet="3Arrows">
        <cfvo type="percent" val="0"/>
        <cfvo type="formula" val="$CH$30"/>
        <cfvo type="formula" val="$CH$30" gte="0"/>
      </iconSet>
    </cfRule>
  </conditionalFormatting>
  <conditionalFormatting sqref="CG31">
    <cfRule type="iconSet" priority="1990">
      <iconSet iconSet="3Arrows">
        <cfvo type="percent" val="0"/>
        <cfvo type="formula" val="$CH$31"/>
        <cfvo type="formula" val="$CH$31" gte="0"/>
      </iconSet>
    </cfRule>
  </conditionalFormatting>
  <conditionalFormatting sqref="CG46">
    <cfRule type="iconSet" priority="1989">
      <iconSet iconSet="3Arrows">
        <cfvo type="percent" val="0"/>
        <cfvo type="formula" val="$CH$46"/>
        <cfvo type="formula" val="$CH$46" gte="0"/>
      </iconSet>
    </cfRule>
  </conditionalFormatting>
  <conditionalFormatting sqref="CG47">
    <cfRule type="iconSet" priority="1988">
      <iconSet iconSet="3Arrows">
        <cfvo type="percent" val="0"/>
        <cfvo type="formula" val="$CH$47"/>
        <cfvo type="formula" val="$CH$47" gte="0"/>
      </iconSet>
    </cfRule>
  </conditionalFormatting>
  <conditionalFormatting sqref="CG32">
    <cfRule type="iconSet" priority="1987">
      <iconSet iconSet="3Arrows">
        <cfvo type="percent" val="0"/>
        <cfvo type="formula" val="$CH$32"/>
        <cfvo type="formula" val="$CH$32" gte="0"/>
      </iconSet>
    </cfRule>
  </conditionalFormatting>
  <conditionalFormatting sqref="CG61">
    <cfRule type="iconSet" priority="1986">
      <iconSet iconSet="3Arrows">
        <cfvo type="percent" val="0"/>
        <cfvo type="formula" val="$CH$61"/>
        <cfvo type="formula" val="$CH$61" gte="0"/>
      </iconSet>
    </cfRule>
  </conditionalFormatting>
  <conditionalFormatting sqref="CG57">
    <cfRule type="iconSet" priority="1985">
      <iconSet iconSet="3Arrows">
        <cfvo type="percent" val="0"/>
        <cfvo type="formula" val="$CH$57"/>
        <cfvo type="formula" val="$CH$57" gte="0"/>
      </iconSet>
    </cfRule>
  </conditionalFormatting>
  <conditionalFormatting sqref="CG34">
    <cfRule type="iconSet" priority="1984">
      <iconSet iconSet="3Arrows">
        <cfvo type="percent" val="0"/>
        <cfvo type="formula" val="$CH$34"/>
        <cfvo type="formula" val="$CH$34" gte="0"/>
      </iconSet>
    </cfRule>
  </conditionalFormatting>
  <conditionalFormatting sqref="CG48">
    <cfRule type="iconSet" priority="1983">
      <iconSet iconSet="3Arrows">
        <cfvo type="percent" val="0"/>
        <cfvo type="formula" val="$CH$48"/>
        <cfvo type="formula" val="$CH$48" gte="0"/>
      </iconSet>
    </cfRule>
  </conditionalFormatting>
  <conditionalFormatting sqref="CG19">
    <cfRule type="iconSet" priority="1982">
      <iconSet iconSet="3Arrows">
        <cfvo type="percent" val="0"/>
        <cfvo type="formula" val="$CH$19"/>
        <cfvo type="formula" val="$CH$19" gte="0"/>
      </iconSet>
    </cfRule>
  </conditionalFormatting>
  <conditionalFormatting sqref="CG35">
    <cfRule type="iconSet" priority="1981">
      <iconSet iconSet="3Arrows">
        <cfvo type="percent" val="0"/>
        <cfvo type="formula" val="$CH$35"/>
        <cfvo type="formula" val="$CH$35" gte="0"/>
      </iconSet>
    </cfRule>
  </conditionalFormatting>
  <conditionalFormatting sqref="CG36">
    <cfRule type="iconSet" priority="1980">
      <iconSet iconSet="3Arrows">
        <cfvo type="percent" val="0"/>
        <cfvo type="formula" val="$CH$36"/>
        <cfvo type="formula" val="$CH$36" gte="0"/>
      </iconSet>
    </cfRule>
  </conditionalFormatting>
  <conditionalFormatting sqref="CI6">
    <cfRule type="iconSet" priority="1979">
      <iconSet iconSet="3Arrows">
        <cfvo type="percent" val="0"/>
        <cfvo type="formula" val="$CJ$6"/>
        <cfvo type="formula" val="$CJ$6" gte="0"/>
      </iconSet>
    </cfRule>
  </conditionalFormatting>
  <conditionalFormatting sqref="CI37">
    <cfRule type="iconSet" priority="1978">
      <iconSet iconSet="3Arrows">
        <cfvo type="percent" val="0"/>
        <cfvo type="formula" val="$CJ$37"/>
        <cfvo type="formula" val="$CJ$37" gte="0"/>
      </iconSet>
    </cfRule>
  </conditionalFormatting>
  <conditionalFormatting sqref="CI38">
    <cfRule type="iconSet" priority="1976">
      <iconSet iconSet="3Arrows">
        <cfvo type="percent" val="0"/>
        <cfvo type="formula" val="$CJ$38"/>
        <cfvo type="formula" val="$CJ$38" gte="0"/>
      </iconSet>
    </cfRule>
  </conditionalFormatting>
  <conditionalFormatting sqref="CI7">
    <cfRule type="iconSet" priority="1975">
      <iconSet iconSet="3Arrows">
        <cfvo type="percent" val="0"/>
        <cfvo type="formula" val="$CJ$7"/>
        <cfvo type="formula" val="$CJ$7" gte="0"/>
      </iconSet>
    </cfRule>
  </conditionalFormatting>
  <conditionalFormatting sqref="CI21">
    <cfRule type="iconSet" priority="1974">
      <iconSet iconSet="3Arrows">
        <cfvo type="percent" val="0"/>
        <cfvo type="formula" val="$CJ$21"/>
        <cfvo type="formula" val="$CJ$21" gte="0"/>
      </iconSet>
    </cfRule>
  </conditionalFormatting>
  <conditionalFormatting sqref="CI22">
    <cfRule type="iconSet" priority="1973">
      <iconSet iconSet="3Arrows">
        <cfvo type="percent" val="0"/>
        <cfvo type="formula" val="$CJ$22"/>
        <cfvo type="formula" val="$CJ$22" gte="0"/>
      </iconSet>
    </cfRule>
  </conditionalFormatting>
  <conditionalFormatting sqref="CI39">
    <cfRule type="iconSet" priority="1972">
      <iconSet iconSet="3Arrows">
        <cfvo type="percent" val="0"/>
        <cfvo type="formula" val="$CJ$39"/>
        <cfvo type="formula" val="$CJ$39" gte="0"/>
      </iconSet>
    </cfRule>
  </conditionalFormatting>
  <conditionalFormatting sqref="CI23">
    <cfRule type="iconSet" priority="1971">
      <iconSet iconSet="3Arrows">
        <cfvo type="percent" val="0"/>
        <cfvo type="formula" val="$CJ$23"/>
        <cfvo type="formula" val="$CJ$23" gte="0"/>
      </iconSet>
    </cfRule>
  </conditionalFormatting>
  <conditionalFormatting sqref="CI24">
    <cfRule type="iconSet" priority="1970">
      <iconSet iconSet="3Arrows">
        <cfvo type="percent" val="0"/>
        <cfvo type="formula" val="$CJ$24"/>
        <cfvo type="formula" val="$CJ$24" gte="0"/>
      </iconSet>
    </cfRule>
  </conditionalFormatting>
  <conditionalFormatting sqref="CI25">
    <cfRule type="iconSet" priority="1969">
      <iconSet iconSet="3Arrows">
        <cfvo type="percent" val="0"/>
        <cfvo type="formula" val="$CJ$25"/>
        <cfvo type="formula" val="$CJ$25" gte="0"/>
      </iconSet>
    </cfRule>
  </conditionalFormatting>
  <conditionalFormatting sqref="CI8">
    <cfRule type="iconSet" priority="1968">
      <iconSet iconSet="3Arrows">
        <cfvo type="percent" val="0"/>
        <cfvo type="formula" val="$CJ$8"/>
        <cfvo type="formula" val="$CJ$8" gte="0"/>
      </iconSet>
    </cfRule>
  </conditionalFormatting>
  <conditionalFormatting sqref="CI52">
    <cfRule type="iconSet" priority="1967">
      <iconSet iconSet="3Arrows">
        <cfvo type="percent" val="0"/>
        <cfvo type="formula" val="$CJ$52"/>
        <cfvo type="formula" val="$CJ$52" gte="0"/>
      </iconSet>
    </cfRule>
  </conditionalFormatting>
  <conditionalFormatting sqref="CI53">
    <cfRule type="iconSet" priority="1966">
      <iconSet iconSet="3Arrows">
        <cfvo type="percent" val="0"/>
        <cfvo type="formula" val="$CJ$53"/>
        <cfvo type="formula" val="$CJ$53" gte="0"/>
      </iconSet>
    </cfRule>
  </conditionalFormatting>
  <conditionalFormatting sqref="CI26">
    <cfRule type="iconSet" priority="1965">
      <iconSet iconSet="3Arrows">
        <cfvo type="percent" val="0"/>
        <cfvo type="formula" val="$CJ$26"/>
        <cfvo type="formula" val="$CJ$26" gte="0"/>
      </iconSet>
    </cfRule>
  </conditionalFormatting>
  <conditionalFormatting sqref="CI9">
    <cfRule type="iconSet" priority="1964">
      <iconSet iconSet="3Arrows">
        <cfvo type="percent" val="0"/>
        <cfvo type="formula" val="$CJ$9"/>
        <cfvo type="formula" val="$CJ$9" gte="0"/>
      </iconSet>
    </cfRule>
  </conditionalFormatting>
  <conditionalFormatting sqref="CI10">
    <cfRule type="iconSet" priority="1963">
      <iconSet iconSet="3Arrows">
        <cfvo type="percent" val="0"/>
        <cfvo type="formula" val="$CJ$10"/>
        <cfvo type="formula" val="$CJ$10" gte="0"/>
      </iconSet>
    </cfRule>
  </conditionalFormatting>
  <conditionalFormatting sqref="CI40">
    <cfRule type="iconSet" priority="1962">
      <iconSet iconSet="3Arrows">
        <cfvo type="percent" val="0"/>
        <cfvo type="formula" val="$CJ$40"/>
        <cfvo type="formula" val="$CJ$40" gte="0"/>
      </iconSet>
    </cfRule>
  </conditionalFormatting>
  <conditionalFormatting sqref="CI11">
    <cfRule type="iconSet" priority="1961">
      <iconSet iconSet="3Arrows">
        <cfvo type="percent" val="0"/>
        <cfvo type="formula" val="$CJ$11"/>
        <cfvo type="formula" val="$CJ$11" gte="0"/>
      </iconSet>
    </cfRule>
  </conditionalFormatting>
  <conditionalFormatting sqref="CI27">
    <cfRule type="iconSet" priority="1960">
      <iconSet iconSet="3Arrows">
        <cfvo type="percent" val="0"/>
        <cfvo type="formula" val="$CJ$27"/>
        <cfvo type="formula" val="$CJ$27" gte="0"/>
      </iconSet>
    </cfRule>
  </conditionalFormatting>
  <conditionalFormatting sqref="CI41">
    <cfRule type="iconSet" priority="1959">
      <iconSet iconSet="3Arrows">
        <cfvo type="percent" val="0"/>
        <cfvo type="formula" val="$CJ$41"/>
        <cfvo type="formula" val="$CJ$41" gte="0"/>
      </iconSet>
    </cfRule>
  </conditionalFormatting>
  <conditionalFormatting sqref="CI12">
    <cfRule type="iconSet" priority="1958">
      <iconSet iconSet="3Arrows">
        <cfvo type="percent" val="0"/>
        <cfvo type="formula" val="$CJ$12"/>
        <cfvo type="formula" val="$CJ$12" gte="0"/>
      </iconSet>
    </cfRule>
  </conditionalFormatting>
  <conditionalFormatting sqref="CI44">
    <cfRule type="iconSet" priority="1957">
      <iconSet iconSet="3Arrows">
        <cfvo type="percent" val="0"/>
        <cfvo type="formula" val="$CJ$44"/>
        <cfvo type="formula" val="$CJ$44" gte="0"/>
      </iconSet>
    </cfRule>
  </conditionalFormatting>
  <conditionalFormatting sqref="CI13">
    <cfRule type="iconSet" priority="1956">
      <iconSet iconSet="3Arrows">
        <cfvo type="percent" val="0"/>
        <cfvo type="formula" val="$CJ$13"/>
        <cfvo type="formula" val="$CJ$13" gte="0"/>
      </iconSet>
    </cfRule>
  </conditionalFormatting>
  <conditionalFormatting sqref="CI45">
    <cfRule type="iconSet" priority="1955">
      <iconSet iconSet="3Arrows">
        <cfvo type="percent" val="0"/>
        <cfvo type="formula" val="$CJ$45"/>
        <cfvo type="formula" val="$CJ$45" gte="0"/>
      </iconSet>
    </cfRule>
  </conditionalFormatting>
  <conditionalFormatting sqref="CI54">
    <cfRule type="iconSet" priority="1954">
      <iconSet iconSet="3Arrows">
        <cfvo type="percent" val="0"/>
        <cfvo type="formula" val="$CJ$54"/>
        <cfvo type="formula" val="$CJ$54" gte="0"/>
      </iconSet>
    </cfRule>
  </conditionalFormatting>
  <conditionalFormatting sqref="CI42">
    <cfRule type="iconSet" priority="1953">
      <iconSet iconSet="3Arrows">
        <cfvo type="percent" val="0"/>
        <cfvo type="formula" val="$CJ$42"/>
        <cfvo type="formula" val="$CJ$42" gte="0"/>
      </iconSet>
    </cfRule>
  </conditionalFormatting>
  <conditionalFormatting sqref="CI43">
    <cfRule type="iconSet" priority="1952">
      <iconSet iconSet="3Arrows">
        <cfvo type="percent" val="0"/>
        <cfvo type="formula" val="$CJ$43"/>
        <cfvo type="formula" val="$CJ$43" gte="0"/>
      </iconSet>
    </cfRule>
  </conditionalFormatting>
  <conditionalFormatting sqref="CI16">
    <cfRule type="iconSet" priority="1951">
      <iconSet iconSet="3Arrows">
        <cfvo type="percent" val="0"/>
        <cfvo type="formula" val="$CJ$16"/>
        <cfvo type="formula" val="$CJ$16" gte="0"/>
      </iconSet>
    </cfRule>
  </conditionalFormatting>
  <conditionalFormatting sqref="CI17">
    <cfRule type="iconSet" priority="1950">
      <iconSet iconSet="3Arrows">
        <cfvo type="percent" val="0"/>
        <cfvo type="formula" val="$CJ$17"/>
        <cfvo type="formula" val="$CJ$17" gte="0"/>
      </iconSet>
    </cfRule>
  </conditionalFormatting>
  <conditionalFormatting sqref="CI29">
    <cfRule type="iconSet" priority="1949">
      <iconSet iconSet="3Arrows">
        <cfvo type="percent" val="0"/>
        <cfvo type="formula" val="$CJ$29"/>
        <cfvo type="formula" val="$CJ$29" gte="0"/>
      </iconSet>
    </cfRule>
  </conditionalFormatting>
  <conditionalFormatting sqref="CI18">
    <cfRule type="iconSet" priority="1948">
      <iconSet iconSet="3Arrows">
        <cfvo type="percent" val="0"/>
        <cfvo type="formula" val="$CJ$18"/>
        <cfvo type="formula" val="$CJ$18" gte="0"/>
      </iconSet>
    </cfRule>
  </conditionalFormatting>
  <conditionalFormatting sqref="CI30">
    <cfRule type="iconSet" priority="1947">
      <iconSet iconSet="3Arrows">
        <cfvo type="percent" val="0"/>
        <cfvo type="formula" val="$CJ$30"/>
        <cfvo type="formula" val="$CJ$30" gte="0"/>
      </iconSet>
    </cfRule>
  </conditionalFormatting>
  <conditionalFormatting sqref="CI31">
    <cfRule type="iconSet" priority="1946">
      <iconSet iconSet="3Arrows">
        <cfvo type="percent" val="0"/>
        <cfvo type="formula" val="$CJ$31"/>
        <cfvo type="formula" val="$CJ$31" gte="0"/>
      </iconSet>
    </cfRule>
  </conditionalFormatting>
  <conditionalFormatting sqref="CI46">
    <cfRule type="iconSet" priority="1945">
      <iconSet iconSet="3Arrows">
        <cfvo type="percent" val="0"/>
        <cfvo type="formula" val="$CJ$46"/>
        <cfvo type="formula" val="$CJ$46" gte="0"/>
      </iconSet>
    </cfRule>
  </conditionalFormatting>
  <conditionalFormatting sqref="CI47">
    <cfRule type="iconSet" priority="1944">
      <iconSet iconSet="3Arrows">
        <cfvo type="percent" val="0"/>
        <cfvo type="formula" val="$CJ$47"/>
        <cfvo type="formula" val="$CJ$47" gte="0"/>
      </iconSet>
    </cfRule>
  </conditionalFormatting>
  <conditionalFormatting sqref="CI32">
    <cfRule type="iconSet" priority="1943">
      <iconSet iconSet="3Arrows">
        <cfvo type="percent" val="0"/>
        <cfvo type="formula" val="$CJ$32"/>
        <cfvo type="formula" val="$CJ$32" gte="0"/>
      </iconSet>
    </cfRule>
  </conditionalFormatting>
  <conditionalFormatting sqref="CI61">
    <cfRule type="iconSet" priority="1942">
      <iconSet iconSet="3Arrows">
        <cfvo type="percent" val="0"/>
        <cfvo type="formula" val="$CJ$61"/>
        <cfvo type="formula" val="$CJ$61" gte="0"/>
      </iconSet>
    </cfRule>
  </conditionalFormatting>
  <conditionalFormatting sqref="CI57">
    <cfRule type="iconSet" priority="1941">
      <iconSet iconSet="3Arrows">
        <cfvo type="percent" val="0"/>
        <cfvo type="formula" val="$CJ$57"/>
        <cfvo type="formula" val="$CJ$57" gte="0"/>
      </iconSet>
    </cfRule>
  </conditionalFormatting>
  <conditionalFormatting sqref="CI34">
    <cfRule type="iconSet" priority="1940">
      <iconSet iconSet="3Arrows">
        <cfvo type="percent" val="0"/>
        <cfvo type="formula" val="$CJ$34"/>
        <cfvo type="formula" val="$CJ$34" gte="0"/>
      </iconSet>
    </cfRule>
  </conditionalFormatting>
  <conditionalFormatting sqref="CI48">
    <cfRule type="iconSet" priority="1939">
      <iconSet iconSet="3Arrows">
        <cfvo type="percent" val="0"/>
        <cfvo type="formula" val="$CJ$48"/>
        <cfvo type="formula" val="$CJ$48" gte="0"/>
      </iconSet>
    </cfRule>
  </conditionalFormatting>
  <conditionalFormatting sqref="CI19">
    <cfRule type="iconSet" priority="1938">
      <iconSet iconSet="3Arrows">
        <cfvo type="percent" val="0"/>
        <cfvo type="formula" val="$CJ$19"/>
        <cfvo type="formula" val="$CJ$19" gte="0"/>
      </iconSet>
    </cfRule>
  </conditionalFormatting>
  <conditionalFormatting sqref="CI35">
    <cfRule type="iconSet" priority="1937">
      <iconSet iconSet="3Arrows">
        <cfvo type="percent" val="0"/>
        <cfvo type="formula" val="$CJ$35"/>
        <cfvo type="formula" val="$CJ$35" gte="0"/>
      </iconSet>
    </cfRule>
  </conditionalFormatting>
  <conditionalFormatting sqref="CI36">
    <cfRule type="iconSet" priority="1936">
      <iconSet iconSet="3Arrows">
        <cfvo type="percent" val="0"/>
        <cfvo type="formula" val="$CJ$36"/>
        <cfvo type="formula" val="$CJ$36" gte="0"/>
      </iconSet>
    </cfRule>
  </conditionalFormatting>
  <conditionalFormatting sqref="BS69:BS73">
    <cfRule type="iconSet" priority="1891">
      <iconSet iconSet="3Arrows">
        <cfvo type="percent" val="0"/>
        <cfvo type="formula" val="$BT$69"/>
        <cfvo type="formula" val="$BT$69" gte="0"/>
      </iconSet>
    </cfRule>
  </conditionalFormatting>
  <conditionalFormatting sqref="CG69">
    <cfRule type="iconSet" priority="1856">
      <iconSet iconSet="3Arrows">
        <cfvo type="percent" val="0"/>
        <cfvo type="formula" val="$CH$69"/>
        <cfvo type="formula" val="$CH$69" gte="0"/>
      </iconSet>
    </cfRule>
  </conditionalFormatting>
  <conditionalFormatting sqref="CG70">
    <cfRule type="iconSet" priority="1855">
      <iconSet iconSet="3Arrows">
        <cfvo type="percent" val="0"/>
        <cfvo type="formula" val="$CH$70"/>
        <cfvo type="formula" val="$CH$70" gte="0"/>
      </iconSet>
    </cfRule>
  </conditionalFormatting>
  <conditionalFormatting sqref="CG71">
    <cfRule type="iconSet" priority="1854">
      <iconSet iconSet="3Arrows">
        <cfvo type="percent" val="0"/>
        <cfvo type="formula" val="$CH$71"/>
        <cfvo type="formula" val="$CH$71" gte="0"/>
      </iconSet>
    </cfRule>
  </conditionalFormatting>
  <conditionalFormatting sqref="CG72">
    <cfRule type="iconSet" priority="1853">
      <iconSet iconSet="3Arrows">
        <cfvo type="percent" val="0"/>
        <cfvo type="formula" val="$CH$72"/>
        <cfvo type="formula" val="$CH$72" gte="0"/>
      </iconSet>
    </cfRule>
  </conditionalFormatting>
  <conditionalFormatting sqref="CG73">
    <cfRule type="iconSet" priority="1852">
      <iconSet iconSet="3Arrows">
        <cfvo type="percent" val="0"/>
        <cfvo type="formula" val="$CH$73"/>
        <cfvo type="formula" val="$CH$73" gte="0"/>
      </iconSet>
    </cfRule>
  </conditionalFormatting>
  <conditionalFormatting sqref="CI69">
    <cfRule type="iconSet" priority="1851">
      <iconSet iconSet="3Arrows">
        <cfvo type="percent" val="0"/>
        <cfvo type="formula" val="$CJ$69"/>
        <cfvo type="formula" val="$CJ$69" gte="0"/>
      </iconSet>
    </cfRule>
  </conditionalFormatting>
  <conditionalFormatting sqref="CI70">
    <cfRule type="iconSet" priority="1850">
      <iconSet iconSet="3Arrows">
        <cfvo type="percent" val="0"/>
        <cfvo type="formula" val="$CJ$70"/>
        <cfvo type="formula" val="$CJ$70" gte="0"/>
      </iconSet>
    </cfRule>
  </conditionalFormatting>
  <conditionalFormatting sqref="CI71">
    <cfRule type="iconSet" priority="1849">
      <iconSet iconSet="3Arrows">
        <cfvo type="percent" val="0"/>
        <cfvo type="formula" val="$CJ$71"/>
        <cfvo type="formula" val="$CJ$71" gte="0"/>
      </iconSet>
    </cfRule>
  </conditionalFormatting>
  <conditionalFormatting sqref="CI72">
    <cfRule type="iconSet" priority="1848">
      <iconSet iconSet="3Arrows">
        <cfvo type="percent" val="0"/>
        <cfvo type="formula" val="$CJ$72"/>
        <cfvo type="formula" val="$CJ$72" gte="0"/>
      </iconSet>
    </cfRule>
  </conditionalFormatting>
  <conditionalFormatting sqref="CI73">
    <cfRule type="iconSet" priority="1847">
      <iconSet iconSet="3Arrows">
        <cfvo type="percent" val="0"/>
        <cfvo type="formula" val="$CJ$73"/>
        <cfvo type="formula" val="$CJ$73" gte="0"/>
      </iconSet>
    </cfRule>
  </conditionalFormatting>
  <conditionalFormatting sqref="J6">
    <cfRule type="iconSet" priority="1841">
      <iconSet iconSet="3Arrows">
        <cfvo type="percent" val="0"/>
        <cfvo type="formula" val="$K$6"/>
        <cfvo type="formula" val="$K$6" gte="0"/>
      </iconSet>
    </cfRule>
  </conditionalFormatting>
  <conditionalFormatting sqref="J37">
    <cfRule type="iconSet" priority="1840">
      <iconSet iconSet="3Arrows">
        <cfvo type="percent" val="0"/>
        <cfvo type="formula" val="$K$37"/>
        <cfvo type="formula" val="$K$37" gte="0"/>
      </iconSet>
    </cfRule>
  </conditionalFormatting>
  <conditionalFormatting sqref="J20">
    <cfRule type="iconSet" priority="1839">
      <iconSet iconSet="3Arrows">
        <cfvo type="percent" val="0"/>
        <cfvo type="formula" val="$K$20"/>
        <cfvo type="formula" val="$K$20" gte="0"/>
      </iconSet>
    </cfRule>
  </conditionalFormatting>
  <conditionalFormatting sqref="J38">
    <cfRule type="iconSet" priority="1838">
      <iconSet iconSet="3Arrows">
        <cfvo type="percent" val="0"/>
        <cfvo type="formula" val="$K$38"/>
        <cfvo type="formula" val="$K$38" gte="0"/>
      </iconSet>
    </cfRule>
  </conditionalFormatting>
  <conditionalFormatting sqref="J49">
    <cfRule type="iconSet" priority="1837">
      <iconSet iconSet="3Arrows">
        <cfvo type="percent" val="0"/>
        <cfvo type="formula" val="$K$49"/>
        <cfvo type="formula" val="$K$49" gte="0"/>
      </iconSet>
    </cfRule>
  </conditionalFormatting>
  <conditionalFormatting sqref="J58">
    <cfRule type="iconSet" priority="1836">
      <iconSet iconSet="3Arrows">
        <cfvo type="percent" val="0"/>
        <cfvo type="formula" val="$K$58"/>
        <cfvo type="formula" val="$K$58" gte="0"/>
      </iconSet>
    </cfRule>
  </conditionalFormatting>
  <conditionalFormatting sqref="J7">
    <cfRule type="iconSet" priority="1835">
      <iconSet iconSet="3Arrows">
        <cfvo type="percent" val="0"/>
        <cfvo type="formula" val="$K$7"/>
        <cfvo type="formula" val="$K$7" gte="0"/>
      </iconSet>
    </cfRule>
  </conditionalFormatting>
  <conditionalFormatting sqref="J21">
    <cfRule type="iconSet" priority="1834">
      <iconSet iconSet="3Arrows">
        <cfvo type="percent" val="0"/>
        <cfvo type="formula" val="$K$21"/>
        <cfvo type="formula" val="$K$21" gte="0"/>
      </iconSet>
    </cfRule>
  </conditionalFormatting>
  <conditionalFormatting sqref="J59">
    <cfRule type="iconSet" priority="1833">
      <iconSet iconSet="3Arrows">
        <cfvo type="percent" val="0"/>
        <cfvo type="formula" val="$K$59"/>
        <cfvo type="formula" val="$K$59" gte="0"/>
      </iconSet>
    </cfRule>
  </conditionalFormatting>
  <conditionalFormatting sqref="J50">
    <cfRule type="iconSet" priority="1832">
      <iconSet iconSet="3Arrows">
        <cfvo type="percent" val="0"/>
        <cfvo type="formula" val="$K$50"/>
        <cfvo type="formula" val="$K$50" gte="0"/>
      </iconSet>
    </cfRule>
  </conditionalFormatting>
  <conditionalFormatting sqref="J22">
    <cfRule type="iconSet" priority="1831">
      <iconSet iconSet="3Arrows">
        <cfvo type="percent" val="0"/>
        <cfvo type="formula" val="$K$22"/>
        <cfvo type="formula" val="$K$22" gte="0"/>
      </iconSet>
    </cfRule>
  </conditionalFormatting>
  <conditionalFormatting sqref="J39">
    <cfRule type="iconSet" priority="1830">
      <iconSet iconSet="3Arrows">
        <cfvo type="percent" val="0"/>
        <cfvo type="formula" val="$K$39"/>
        <cfvo type="formula" val="$K$39" gte="0"/>
      </iconSet>
    </cfRule>
  </conditionalFormatting>
  <conditionalFormatting sqref="J51">
    <cfRule type="iconSet" priority="1829">
      <iconSet iconSet="3Arrows">
        <cfvo type="percent" val="0"/>
        <cfvo type="formula" val="$K$51"/>
        <cfvo type="formula" val="$K$51" gte="0"/>
      </iconSet>
    </cfRule>
  </conditionalFormatting>
  <conditionalFormatting sqref="J23">
    <cfRule type="iconSet" priority="1828">
      <iconSet iconSet="3Arrows">
        <cfvo type="percent" val="0"/>
        <cfvo type="formula" val="$K$23"/>
        <cfvo type="formula" val="$K$23" gte="0"/>
      </iconSet>
    </cfRule>
  </conditionalFormatting>
  <conditionalFormatting sqref="J24">
    <cfRule type="iconSet" priority="1827">
      <iconSet iconSet="3Arrows">
        <cfvo type="percent" val="0"/>
        <cfvo type="formula" val="$K$24"/>
        <cfvo type="formula" val="$K$24" gte="0"/>
      </iconSet>
    </cfRule>
  </conditionalFormatting>
  <conditionalFormatting sqref="J25">
    <cfRule type="iconSet" priority="1826">
      <iconSet iconSet="3Arrows">
        <cfvo type="percent" val="0"/>
        <cfvo type="formula" val="$K$25"/>
        <cfvo type="formula" val="$K$25" gte="0"/>
      </iconSet>
    </cfRule>
  </conditionalFormatting>
  <conditionalFormatting sqref="J8">
    <cfRule type="iconSet" priority="1825">
      <iconSet iconSet="3Arrows">
        <cfvo type="percent" val="0"/>
        <cfvo type="formula" val="$K$8"/>
        <cfvo type="formula" val="$K$8" gte="0"/>
      </iconSet>
    </cfRule>
  </conditionalFormatting>
  <conditionalFormatting sqref="J52">
    <cfRule type="iconSet" priority="1824">
      <iconSet iconSet="3Arrows">
        <cfvo type="percent" val="0"/>
        <cfvo type="formula" val="$K$52"/>
        <cfvo type="formula" val="$K$52" gte="0"/>
      </iconSet>
    </cfRule>
  </conditionalFormatting>
  <conditionalFormatting sqref="J53">
    <cfRule type="iconSet" priority="1823">
      <iconSet iconSet="3Arrows">
        <cfvo type="percent" val="0"/>
        <cfvo type="formula" val="$K$53"/>
        <cfvo type="formula" val="$K$53" gte="0"/>
      </iconSet>
    </cfRule>
  </conditionalFormatting>
  <conditionalFormatting sqref="J26">
    <cfRule type="iconSet" priority="1822">
      <iconSet iconSet="3Arrows">
        <cfvo type="percent" val="0"/>
        <cfvo type="formula" val="$K$26"/>
        <cfvo type="formula" val="$K$26" gte="0"/>
      </iconSet>
    </cfRule>
  </conditionalFormatting>
  <conditionalFormatting sqref="J9">
    <cfRule type="iconSet" priority="1821">
      <iconSet iconSet="3Arrows">
        <cfvo type="percent" val="0"/>
        <cfvo type="formula" val="$K$9"/>
        <cfvo type="formula" val="$K$9" gte="0"/>
      </iconSet>
    </cfRule>
  </conditionalFormatting>
  <conditionalFormatting sqref="CG14">
    <cfRule type="iconSet" priority="2358">
      <iconSet iconSet="3Arrows">
        <cfvo type="percent" val="0"/>
        <cfvo type="formula" val="$CH$14"/>
        <cfvo type="formula" val="$CH$14" gte="0"/>
      </iconSet>
    </cfRule>
  </conditionalFormatting>
  <conditionalFormatting sqref="CI14">
    <cfRule type="iconSet" priority="2359">
      <iconSet iconSet="3Arrows">
        <cfvo type="percent" val="0"/>
        <cfvo type="formula" val="$CJ$14"/>
        <cfvo type="formula" val="$CJ$14" gte="0"/>
      </iconSet>
    </cfRule>
  </conditionalFormatting>
  <conditionalFormatting sqref="J10">
    <cfRule type="iconSet" priority="1820">
      <iconSet iconSet="3Arrows">
        <cfvo type="percent" val="0"/>
        <cfvo type="formula" val="$K$10"/>
        <cfvo type="formula" val="$K$10" gte="0"/>
      </iconSet>
    </cfRule>
  </conditionalFormatting>
  <conditionalFormatting sqref="J11">
    <cfRule type="iconSet" priority="1819">
      <iconSet iconSet="3Arrows">
        <cfvo type="percent" val="0"/>
        <cfvo type="formula" val="$K$11"/>
        <cfvo type="formula" val="$K$11" gte="0"/>
      </iconSet>
    </cfRule>
  </conditionalFormatting>
  <conditionalFormatting sqref="J27">
    <cfRule type="iconSet" priority="1818">
      <iconSet iconSet="3Arrows">
        <cfvo type="percent" val="0"/>
        <cfvo type="formula" val="$K$27"/>
        <cfvo type="formula" val="$K$27" gte="0"/>
      </iconSet>
    </cfRule>
  </conditionalFormatting>
  <conditionalFormatting sqref="J40">
    <cfRule type="iconSet" priority="1817">
      <iconSet iconSet="3Arrows">
        <cfvo type="percent" val="0"/>
        <cfvo type="formula" val="$K$40"/>
        <cfvo type="formula" val="$K$40" gte="0"/>
      </iconSet>
    </cfRule>
  </conditionalFormatting>
  <conditionalFormatting sqref="J41">
    <cfRule type="iconSet" priority="1816">
      <iconSet iconSet="3Arrows">
        <cfvo type="percent" val="0"/>
        <cfvo type="formula" val="$K$41"/>
        <cfvo type="formula" val="$K$41" gte="0"/>
      </iconSet>
    </cfRule>
  </conditionalFormatting>
  <conditionalFormatting sqref="J12">
    <cfRule type="iconSet" priority="1815">
      <iconSet iconSet="3Arrows">
        <cfvo type="percent" val="0"/>
        <cfvo type="formula" val="$K$12"/>
        <cfvo type="formula" val="$K$12" gte="0"/>
      </iconSet>
    </cfRule>
  </conditionalFormatting>
  <conditionalFormatting sqref="J13">
    <cfRule type="iconSet" priority="1814">
      <iconSet iconSet="3Arrows">
        <cfvo type="percent" val="0"/>
        <cfvo type="formula" val="$K$13"/>
        <cfvo type="formula" val="$K$13" gte="0"/>
      </iconSet>
    </cfRule>
  </conditionalFormatting>
  <conditionalFormatting sqref="J44">
    <cfRule type="iconSet" priority="1813">
      <iconSet iconSet="3Arrows">
        <cfvo type="percent" val="0"/>
        <cfvo type="formula" val="$K$44"/>
        <cfvo type="formula" val="$K$44" gte="0"/>
      </iconSet>
    </cfRule>
  </conditionalFormatting>
  <conditionalFormatting sqref="J14">
    <cfRule type="iconSet" priority="1812">
      <iconSet iconSet="3Arrows">
        <cfvo type="percent" val="0"/>
        <cfvo type="formula" val="$K$14"/>
        <cfvo type="formula" val="$K$14" gte="0"/>
      </iconSet>
    </cfRule>
  </conditionalFormatting>
  <conditionalFormatting sqref="J45">
    <cfRule type="iconSet" priority="1811">
      <iconSet iconSet="3Arrows">
        <cfvo type="percent" val="0"/>
        <cfvo type="formula" val="$K$45"/>
        <cfvo type="formula" val="$K$45" gte="0"/>
      </iconSet>
    </cfRule>
  </conditionalFormatting>
  <conditionalFormatting sqref="J54">
    <cfRule type="iconSet" priority="1810">
      <iconSet iconSet="3Arrows">
        <cfvo type="percent" val="0"/>
        <cfvo type="formula" val="$K$54"/>
        <cfvo type="formula" val="$K$54" gte="0"/>
      </iconSet>
    </cfRule>
  </conditionalFormatting>
  <conditionalFormatting sqref="J42">
    <cfRule type="iconSet" priority="1809">
      <iconSet iconSet="3Arrows">
        <cfvo type="percent" val="0"/>
        <cfvo type="formula" val="$K$42"/>
        <cfvo type="formula" val="$K$42" gte="0"/>
      </iconSet>
    </cfRule>
  </conditionalFormatting>
  <conditionalFormatting sqref="J15">
    <cfRule type="iconSet" priority="1808">
      <iconSet iconSet="3Arrows">
        <cfvo type="percent" val="0"/>
        <cfvo type="formula" val="$K$15"/>
        <cfvo type="formula" val="$K$15" gte="0"/>
      </iconSet>
    </cfRule>
  </conditionalFormatting>
  <conditionalFormatting sqref="J43">
    <cfRule type="iconSet" priority="1807">
      <iconSet iconSet="3Arrows">
        <cfvo type="percent" val="0"/>
        <cfvo type="formula" val="$K$43"/>
        <cfvo type="formula" val="$K$43" gte="0"/>
      </iconSet>
    </cfRule>
  </conditionalFormatting>
  <conditionalFormatting sqref="J16">
    <cfRule type="iconSet" priority="1806">
      <iconSet iconSet="3Arrows">
        <cfvo type="percent" val="0"/>
        <cfvo type="formula" val="$K$16"/>
        <cfvo type="formula" val="$K$16" gte="0"/>
      </iconSet>
    </cfRule>
  </conditionalFormatting>
  <conditionalFormatting sqref="J17">
    <cfRule type="iconSet" priority="1805">
      <iconSet iconSet="3Arrows">
        <cfvo type="percent" val="0"/>
        <cfvo type="formula" val="$K$17"/>
        <cfvo type="formula" val="$K$17" gte="0"/>
      </iconSet>
    </cfRule>
  </conditionalFormatting>
  <conditionalFormatting sqref="J29">
    <cfRule type="iconSet" priority="1804">
      <iconSet iconSet="3Arrows">
        <cfvo type="percent" val="0"/>
        <cfvo type="formula" val="$K$29"/>
        <cfvo type="formula" val="$K$29" gte="0"/>
      </iconSet>
    </cfRule>
  </conditionalFormatting>
  <conditionalFormatting sqref="J55">
    <cfRule type="iconSet" priority="1803">
      <iconSet iconSet="3Arrows">
        <cfvo type="percent" val="0"/>
        <cfvo type="formula" val="$K$55"/>
        <cfvo type="formula" val="$K$55" gte="0"/>
      </iconSet>
    </cfRule>
  </conditionalFormatting>
  <conditionalFormatting sqref="J28">
    <cfRule type="iconSet" priority="1802">
      <iconSet iconSet="3Arrows">
        <cfvo type="percent" val="0"/>
        <cfvo type="formula" val="$K$28"/>
        <cfvo type="formula" val="$K$28" gte="0"/>
      </iconSet>
    </cfRule>
  </conditionalFormatting>
  <conditionalFormatting sqref="J18">
    <cfRule type="iconSet" priority="1801">
      <iconSet iconSet="3Arrows">
        <cfvo type="percent" val="0"/>
        <cfvo type="formula" val="$K$18"/>
        <cfvo type="formula" val="$K$18" gte="0"/>
      </iconSet>
    </cfRule>
  </conditionalFormatting>
  <conditionalFormatting sqref="J56">
    <cfRule type="iconSet" priority="1800">
      <iconSet iconSet="3Arrows">
        <cfvo type="percent" val="0"/>
        <cfvo type="formula" val="$K$56"/>
        <cfvo type="formula" val="$K$56" gte="0"/>
      </iconSet>
    </cfRule>
  </conditionalFormatting>
  <conditionalFormatting sqref="J30">
    <cfRule type="iconSet" priority="1799">
      <iconSet iconSet="3Arrows">
        <cfvo type="percent" val="0"/>
        <cfvo type="formula" val="$K$30"/>
        <cfvo type="formula" val="$K$30" gte="0"/>
      </iconSet>
    </cfRule>
  </conditionalFormatting>
  <conditionalFormatting sqref="J31">
    <cfRule type="iconSet" priority="1798">
      <iconSet iconSet="3Arrows">
        <cfvo type="percent" val="0"/>
        <cfvo type="formula" val="$K$31"/>
        <cfvo type="formula" val="$K$31" gte="0"/>
      </iconSet>
    </cfRule>
  </conditionalFormatting>
  <conditionalFormatting sqref="J46">
    <cfRule type="iconSet" priority="1797">
      <iconSet iconSet="3Arrows">
        <cfvo type="percent" val="0"/>
        <cfvo type="formula" val="$K$46"/>
        <cfvo type="formula" val="$K$46" gte="0"/>
      </iconSet>
    </cfRule>
  </conditionalFormatting>
  <conditionalFormatting sqref="J47">
    <cfRule type="iconSet" priority="1796">
      <iconSet iconSet="3Arrows">
        <cfvo type="percent" val="0"/>
        <cfvo type="formula" val="$K$47"/>
        <cfvo type="formula" val="$K$47" gte="0"/>
      </iconSet>
    </cfRule>
  </conditionalFormatting>
  <conditionalFormatting sqref="J32">
    <cfRule type="iconSet" priority="1795">
      <iconSet iconSet="3Arrows">
        <cfvo type="percent" val="0"/>
        <cfvo type="formula" val="$K$32"/>
        <cfvo type="formula" val="$K$32" gte="0"/>
      </iconSet>
    </cfRule>
  </conditionalFormatting>
  <conditionalFormatting sqref="J60">
    <cfRule type="iconSet" priority="1794">
      <iconSet iconSet="3Arrows">
        <cfvo type="percent" val="0"/>
        <cfvo type="formula" val="$K$60"/>
        <cfvo type="formula" val="$K$60" gte="0"/>
      </iconSet>
    </cfRule>
  </conditionalFormatting>
  <conditionalFormatting sqref="J61">
    <cfRule type="iconSet" priority="1793">
      <iconSet iconSet="3Arrows">
        <cfvo type="percent" val="0"/>
        <cfvo type="formula" val="$K$61"/>
        <cfvo type="formula" val="$K$61" gte="0"/>
      </iconSet>
    </cfRule>
  </conditionalFormatting>
  <conditionalFormatting sqref="J57">
    <cfRule type="iconSet" priority="1792">
      <iconSet iconSet="3Arrows">
        <cfvo type="percent" val="0"/>
        <cfvo type="formula" val="$K$57"/>
        <cfvo type="formula" val="$K$57" gte="0"/>
      </iconSet>
    </cfRule>
  </conditionalFormatting>
  <conditionalFormatting sqref="J36">
    <cfRule type="iconSet" priority="1791">
      <iconSet iconSet="3Arrows">
        <cfvo type="percent" val="0"/>
        <cfvo type="formula" val="$K$36"/>
        <cfvo type="formula" val="$K$36" gte="0"/>
      </iconSet>
    </cfRule>
  </conditionalFormatting>
  <conditionalFormatting sqref="J62">
    <cfRule type="iconSet" priority="1790">
      <iconSet iconSet="3Arrows">
        <cfvo type="percent" val="0"/>
        <cfvo type="formula" val="$K$62"/>
        <cfvo type="formula" val="$K$62" gte="0"/>
      </iconSet>
    </cfRule>
  </conditionalFormatting>
  <conditionalFormatting sqref="J33">
    <cfRule type="iconSet" priority="1789">
      <iconSet iconSet="3Arrows">
        <cfvo type="percent" val="0"/>
        <cfvo type="formula" val="$K$33"/>
        <cfvo type="formula" val="$K$33" gte="0"/>
      </iconSet>
    </cfRule>
  </conditionalFormatting>
  <conditionalFormatting sqref="J34">
    <cfRule type="iconSet" priority="1788">
      <iconSet iconSet="3Arrows">
        <cfvo type="percent" val="0"/>
        <cfvo type="formula" val="$K$34"/>
        <cfvo type="formula" val="$K$34" gte="0"/>
      </iconSet>
    </cfRule>
  </conditionalFormatting>
  <conditionalFormatting sqref="J48">
    <cfRule type="iconSet" priority="1787">
      <iconSet iconSet="3Arrows">
        <cfvo type="percent" val="0"/>
        <cfvo type="formula" val="$K$48"/>
        <cfvo type="formula" val="$K$48" gte="0"/>
      </iconSet>
    </cfRule>
  </conditionalFormatting>
  <conditionalFormatting sqref="J19">
    <cfRule type="iconSet" priority="1786">
      <iconSet iconSet="3Arrows">
        <cfvo type="percent" val="0"/>
        <cfvo type="formula" val="$K$19"/>
        <cfvo type="formula" val="$K$19" gte="0"/>
      </iconSet>
    </cfRule>
  </conditionalFormatting>
  <conditionalFormatting sqref="J35">
    <cfRule type="iconSet" priority="1785">
      <iconSet iconSet="3Arrows">
        <cfvo type="percent" val="0"/>
        <cfvo type="formula" val="$K$35"/>
        <cfvo type="formula" val="$K$35" gte="0"/>
      </iconSet>
    </cfRule>
  </conditionalFormatting>
  <conditionalFormatting sqref="J69">
    <cfRule type="iconSet" priority="1784">
      <iconSet iconSet="3Arrows">
        <cfvo type="percent" val="0"/>
        <cfvo type="formula" val="$K$69"/>
        <cfvo type="formula" val="$K$69" gte="0"/>
      </iconSet>
    </cfRule>
  </conditionalFormatting>
  <conditionalFormatting sqref="J70">
    <cfRule type="iconSet" priority="1783">
      <iconSet iconSet="3Arrows">
        <cfvo type="percent" val="0"/>
        <cfvo type="formula" val="$K$70"/>
        <cfvo type="formula" val="$K$70" gte="0"/>
      </iconSet>
    </cfRule>
  </conditionalFormatting>
  <conditionalFormatting sqref="J71">
    <cfRule type="iconSet" priority="1782">
      <iconSet iconSet="3Arrows">
        <cfvo type="percent" val="0"/>
        <cfvo type="formula" val="$K$71"/>
        <cfvo type="formula" val="$K$71" gte="0"/>
      </iconSet>
    </cfRule>
  </conditionalFormatting>
  <conditionalFormatting sqref="J72">
    <cfRule type="iconSet" priority="1781">
      <iconSet iconSet="3Arrows">
        <cfvo type="percent" val="0"/>
        <cfvo type="formula" val="$K$72"/>
        <cfvo type="formula" val="$K$72" gte="0"/>
      </iconSet>
    </cfRule>
  </conditionalFormatting>
  <conditionalFormatting sqref="J73">
    <cfRule type="iconSet" priority="1780">
      <iconSet iconSet="3Arrows">
        <cfvo type="percent" val="0"/>
        <cfvo type="formula" val="$K$73"/>
        <cfvo type="formula" val="$K$73" gte="0"/>
      </iconSet>
    </cfRule>
  </conditionalFormatting>
  <conditionalFormatting sqref="BN6">
    <cfRule type="iconSet" priority="1779">
      <iconSet iconSet="3Arrows">
        <cfvo type="percent" val="0"/>
        <cfvo type="formula" val="$BO$6"/>
        <cfvo type="formula" val="$BO$6" gte="0"/>
      </iconSet>
    </cfRule>
  </conditionalFormatting>
  <conditionalFormatting sqref="BN37">
    <cfRule type="iconSet" priority="1778">
      <iconSet iconSet="3Arrows">
        <cfvo type="percent" val="0"/>
        <cfvo type="formula" val="$BO$37"/>
        <cfvo type="formula" val="$BO$37" gte="0"/>
      </iconSet>
    </cfRule>
  </conditionalFormatting>
  <conditionalFormatting sqref="BN20">
    <cfRule type="iconSet" priority="1777">
      <iconSet iconSet="3Arrows">
        <cfvo type="percent" val="0"/>
        <cfvo type="formula" val="$BO$20"/>
        <cfvo type="formula" val="$BO$20" gte="0"/>
      </iconSet>
    </cfRule>
  </conditionalFormatting>
  <conditionalFormatting sqref="BN38">
    <cfRule type="iconSet" priority="1776">
      <iconSet iconSet="3Arrows">
        <cfvo type="percent" val="0"/>
        <cfvo type="formula" val="$BO$38"/>
        <cfvo type="formula" val="$BO$38" gte="0"/>
      </iconSet>
    </cfRule>
  </conditionalFormatting>
  <conditionalFormatting sqref="BN49">
    <cfRule type="iconSet" priority="1775">
      <iconSet iconSet="3Arrows">
        <cfvo type="percent" val="0"/>
        <cfvo type="formula" val="$BO$49"/>
        <cfvo type="formula" val="$BO$49" gte="0"/>
      </iconSet>
    </cfRule>
  </conditionalFormatting>
  <conditionalFormatting sqref="BN58">
    <cfRule type="iconSet" priority="1774">
      <iconSet iconSet="3Arrows">
        <cfvo type="percent" val="0"/>
        <cfvo type="formula" val="$BO$58"/>
        <cfvo type="formula" val="$BO$58" gte="0"/>
      </iconSet>
    </cfRule>
  </conditionalFormatting>
  <conditionalFormatting sqref="BN7">
    <cfRule type="iconSet" priority="1773">
      <iconSet iconSet="3Arrows">
        <cfvo type="percent" val="0"/>
        <cfvo type="formula" val="$BO$7"/>
        <cfvo type="formula" val="$BO$7" gte="0"/>
      </iconSet>
    </cfRule>
  </conditionalFormatting>
  <conditionalFormatting sqref="BN21">
    <cfRule type="iconSet" priority="1772">
      <iconSet iconSet="3Arrows">
        <cfvo type="percent" val="0"/>
        <cfvo type="formula" val="$BO$21"/>
        <cfvo type="formula" val="$BO$21" gte="0"/>
      </iconSet>
    </cfRule>
  </conditionalFormatting>
  <conditionalFormatting sqref="BN59">
    <cfRule type="iconSet" priority="1771">
      <iconSet iconSet="3Arrows">
        <cfvo type="percent" val="0"/>
        <cfvo type="formula" val="$BO$59"/>
        <cfvo type="formula" val="$BO$59" gte="0"/>
      </iconSet>
    </cfRule>
  </conditionalFormatting>
  <conditionalFormatting sqref="BN50">
    <cfRule type="iconSet" priority="1770">
      <iconSet iconSet="3Arrows">
        <cfvo type="percent" val="0"/>
        <cfvo type="formula" val="$BO$50"/>
        <cfvo type="formula" val="$BO$50" gte="0"/>
      </iconSet>
    </cfRule>
  </conditionalFormatting>
  <conditionalFormatting sqref="BN22">
    <cfRule type="iconSet" priority="1769">
      <iconSet iconSet="3Arrows">
        <cfvo type="percent" val="0"/>
        <cfvo type="formula" val="$BO$22"/>
        <cfvo type="formula" val="$BO$22" gte="0"/>
      </iconSet>
    </cfRule>
  </conditionalFormatting>
  <conditionalFormatting sqref="BN39">
    <cfRule type="iconSet" priority="1768">
      <iconSet iconSet="3Arrows">
        <cfvo type="percent" val="0"/>
        <cfvo type="formula" val="$BO$39"/>
        <cfvo type="formula" val="$BO$39" gte="0"/>
      </iconSet>
    </cfRule>
  </conditionalFormatting>
  <conditionalFormatting sqref="BN51">
    <cfRule type="iconSet" priority="1767">
      <iconSet iconSet="3Arrows">
        <cfvo type="percent" val="0"/>
        <cfvo type="formula" val="$BO$51"/>
        <cfvo type="formula" val="$BO$51" gte="0"/>
      </iconSet>
    </cfRule>
  </conditionalFormatting>
  <conditionalFormatting sqref="BN23">
    <cfRule type="iconSet" priority="1766">
      <iconSet iconSet="3Arrows">
        <cfvo type="percent" val="0"/>
        <cfvo type="formula" val="$BO$23"/>
        <cfvo type="formula" val="$BO$23" gte="0"/>
      </iconSet>
    </cfRule>
  </conditionalFormatting>
  <conditionalFormatting sqref="BN24">
    <cfRule type="iconSet" priority="1765">
      <iconSet iconSet="3Arrows">
        <cfvo type="percent" val="0"/>
        <cfvo type="formula" val="$BO$24"/>
        <cfvo type="formula" val="$BO$24" gte="0"/>
      </iconSet>
    </cfRule>
  </conditionalFormatting>
  <conditionalFormatting sqref="BN25">
    <cfRule type="iconSet" priority="1764">
      <iconSet iconSet="3Arrows">
        <cfvo type="percent" val="0"/>
        <cfvo type="formula" val="$BO$25"/>
        <cfvo type="formula" val="$BO$25" gte="0"/>
      </iconSet>
    </cfRule>
  </conditionalFormatting>
  <conditionalFormatting sqref="BN8">
    <cfRule type="iconSet" priority="1763">
      <iconSet iconSet="3Arrows">
        <cfvo type="percent" val="0"/>
        <cfvo type="formula" val="$BO$8"/>
        <cfvo type="formula" val="$BO$8" gte="0"/>
      </iconSet>
    </cfRule>
  </conditionalFormatting>
  <conditionalFormatting sqref="BN52">
    <cfRule type="iconSet" priority="1762">
      <iconSet iconSet="3Arrows">
        <cfvo type="percent" val="0"/>
        <cfvo type="formula" val="$BO$52"/>
        <cfvo type="formula" val="$BO$52" gte="0"/>
      </iconSet>
    </cfRule>
  </conditionalFormatting>
  <conditionalFormatting sqref="BN53">
    <cfRule type="iconSet" priority="1761">
      <iconSet iconSet="3Arrows">
        <cfvo type="percent" val="0"/>
        <cfvo type="formula" val="$BO$53"/>
        <cfvo type="formula" val="$BO$53" gte="0"/>
      </iconSet>
    </cfRule>
  </conditionalFormatting>
  <conditionalFormatting sqref="BN9">
    <cfRule type="iconSet" priority="1760">
      <iconSet iconSet="3Arrows">
        <cfvo type="percent" val="0"/>
        <cfvo type="formula" val="$BO$9"/>
        <cfvo type="formula" val="$BO$9" gte="0"/>
      </iconSet>
    </cfRule>
  </conditionalFormatting>
  <conditionalFormatting sqref="BN10">
    <cfRule type="iconSet" priority="1759">
      <iconSet iconSet="3Arrows">
        <cfvo type="percent" val="0"/>
        <cfvo type="formula" val="$BO$10"/>
        <cfvo type="formula" val="$BO$10" gte="0"/>
      </iconSet>
    </cfRule>
  </conditionalFormatting>
  <conditionalFormatting sqref="BN26">
    <cfRule type="iconSet" priority="1758">
      <iconSet iconSet="3Arrows">
        <cfvo type="percent" val="0"/>
        <cfvo type="formula" val="$BO$26"/>
        <cfvo type="formula" val="$BO$26" gte="0"/>
      </iconSet>
    </cfRule>
  </conditionalFormatting>
  <conditionalFormatting sqref="BN11">
    <cfRule type="iconSet" priority="1757">
      <iconSet iconSet="3Arrows">
        <cfvo type="percent" val="0"/>
        <cfvo type="formula" val="$BO$11"/>
        <cfvo type="formula" val="$BO$11" gte="0"/>
      </iconSet>
    </cfRule>
  </conditionalFormatting>
  <conditionalFormatting sqref="BN27">
    <cfRule type="iconSet" priority="1756">
      <iconSet iconSet="3Arrows">
        <cfvo type="percent" val="0"/>
        <cfvo type="formula" val="$BO$27"/>
        <cfvo type="formula" val="$BO$27" gte="0"/>
      </iconSet>
    </cfRule>
  </conditionalFormatting>
  <conditionalFormatting sqref="BN40">
    <cfRule type="iconSet" priority="1755">
      <iconSet iconSet="3Arrows">
        <cfvo type="percent" val="0"/>
        <cfvo type="formula" val="$BO$40"/>
        <cfvo type="formula" val="$BO$40" gte="0"/>
      </iconSet>
    </cfRule>
  </conditionalFormatting>
  <conditionalFormatting sqref="BN41">
    <cfRule type="iconSet" priority="1754">
      <iconSet iconSet="3Arrows">
        <cfvo type="percent" val="0"/>
        <cfvo type="formula" val="$BO$41"/>
        <cfvo type="formula" val="$BO$41" gte="0"/>
      </iconSet>
    </cfRule>
  </conditionalFormatting>
  <conditionalFormatting sqref="BN12">
    <cfRule type="iconSet" priority="1753">
      <iconSet iconSet="3Arrows">
        <cfvo type="percent" val="0"/>
        <cfvo type="formula" val="$BO$12"/>
        <cfvo type="formula" val="$BO$12" gte="0"/>
      </iconSet>
    </cfRule>
  </conditionalFormatting>
  <conditionalFormatting sqref="BN13">
    <cfRule type="iconSet" priority="1752">
      <iconSet iconSet="3Arrows">
        <cfvo type="percent" val="0"/>
        <cfvo type="formula" val="$BO$13"/>
        <cfvo type="formula" val="$BO$13" gte="0"/>
      </iconSet>
    </cfRule>
  </conditionalFormatting>
  <conditionalFormatting sqref="BN44">
    <cfRule type="iconSet" priority="1751">
      <iconSet iconSet="3Arrows">
        <cfvo type="percent" val="0"/>
        <cfvo type="formula" val="$BO$44"/>
        <cfvo type="formula" val="$BO$44" gte="0"/>
      </iconSet>
    </cfRule>
  </conditionalFormatting>
  <conditionalFormatting sqref="BN14">
    <cfRule type="iconSet" priority="1750">
      <iconSet iconSet="3Arrows">
        <cfvo type="percent" val="0"/>
        <cfvo type="formula" val="$BO$14"/>
        <cfvo type="formula" val="$BO$14" gte="0"/>
      </iconSet>
    </cfRule>
  </conditionalFormatting>
  <conditionalFormatting sqref="BN45">
    <cfRule type="iconSet" priority="1749">
      <iconSet iconSet="3Arrows">
        <cfvo type="percent" val="0"/>
        <cfvo type="formula" val="$BO$45"/>
        <cfvo type="formula" val="$BO$45" gte="0"/>
      </iconSet>
    </cfRule>
  </conditionalFormatting>
  <conditionalFormatting sqref="BN54">
    <cfRule type="iconSet" priority="1748">
      <iconSet iconSet="3Arrows">
        <cfvo type="percent" val="0"/>
        <cfvo type="formula" val="$BO$54"/>
        <cfvo type="formula" val="$BO$54" gte="0"/>
      </iconSet>
    </cfRule>
  </conditionalFormatting>
  <conditionalFormatting sqref="BN42">
    <cfRule type="iconSet" priority="1747">
      <iconSet iconSet="3Arrows">
        <cfvo type="percent" val="0"/>
        <cfvo type="formula" val="$BO$42"/>
        <cfvo type="formula" val="$BO$42" gte="0"/>
      </iconSet>
    </cfRule>
  </conditionalFormatting>
  <conditionalFormatting sqref="BN15">
    <cfRule type="iconSet" priority="1746">
      <iconSet iconSet="3Arrows">
        <cfvo type="percent" val="0"/>
        <cfvo type="formula" val="$BO$15"/>
        <cfvo type="formula" val="$BO$15" gte="0"/>
      </iconSet>
    </cfRule>
  </conditionalFormatting>
  <conditionalFormatting sqref="BN43">
    <cfRule type="iconSet" priority="1745">
      <iconSet iconSet="3Arrows">
        <cfvo type="percent" val="0"/>
        <cfvo type="formula" val="$BO$43"/>
        <cfvo type="formula" val="$BO$43" gte="0"/>
      </iconSet>
    </cfRule>
  </conditionalFormatting>
  <conditionalFormatting sqref="BN16">
    <cfRule type="iconSet" priority="1744">
      <iconSet iconSet="3Arrows">
        <cfvo type="percent" val="0"/>
        <cfvo type="formula" val="$BO$16"/>
        <cfvo type="formula" val="$BO$16" gte="0"/>
      </iconSet>
    </cfRule>
  </conditionalFormatting>
  <conditionalFormatting sqref="BN17">
    <cfRule type="iconSet" priority="1743">
      <iconSet iconSet="3Arrows">
        <cfvo type="percent" val="0"/>
        <cfvo type="formula" val="$BO$17"/>
        <cfvo type="formula" val="$BO$17" gte="0"/>
      </iconSet>
    </cfRule>
  </conditionalFormatting>
  <conditionalFormatting sqref="BN29">
    <cfRule type="iconSet" priority="1742">
      <iconSet iconSet="3Arrows">
        <cfvo type="percent" val="0"/>
        <cfvo type="formula" val="$BO$29"/>
        <cfvo type="formula" val="$BO$29" gte="0"/>
      </iconSet>
    </cfRule>
  </conditionalFormatting>
  <conditionalFormatting sqref="BN55">
    <cfRule type="iconSet" priority="1741">
      <iconSet iconSet="3Arrows">
        <cfvo type="percent" val="0"/>
        <cfvo type="formula" val="$BO$55"/>
        <cfvo type="formula" val="$BO$55" gte="0"/>
      </iconSet>
    </cfRule>
  </conditionalFormatting>
  <conditionalFormatting sqref="BN28">
    <cfRule type="iconSet" priority="1740">
      <iconSet iconSet="3Arrows">
        <cfvo type="percent" val="0"/>
        <cfvo type="formula" val="$BO$28"/>
        <cfvo type="formula" val="$BO$28" gte="0"/>
      </iconSet>
    </cfRule>
  </conditionalFormatting>
  <conditionalFormatting sqref="BN18">
    <cfRule type="iconSet" priority="1739">
      <iconSet iconSet="3Arrows">
        <cfvo type="percent" val="0"/>
        <cfvo type="formula" val="$BO$18"/>
        <cfvo type="formula" val="$BO$18" gte="0"/>
      </iconSet>
    </cfRule>
  </conditionalFormatting>
  <conditionalFormatting sqref="BN56">
    <cfRule type="iconSet" priority="1738">
      <iconSet iconSet="3Arrows">
        <cfvo type="percent" val="0"/>
        <cfvo type="formula" val="$BO$56"/>
        <cfvo type="formula" val="$BO$56" gte="0"/>
      </iconSet>
    </cfRule>
  </conditionalFormatting>
  <conditionalFormatting sqref="BN30">
    <cfRule type="iconSet" priority="1737">
      <iconSet iconSet="3Arrows">
        <cfvo type="percent" val="0"/>
        <cfvo type="formula" val="$BO$30"/>
        <cfvo type="formula" val="$BO$30" gte="0"/>
      </iconSet>
    </cfRule>
  </conditionalFormatting>
  <conditionalFormatting sqref="BN31">
    <cfRule type="iconSet" priority="1736">
      <iconSet iconSet="3Arrows">
        <cfvo type="percent" val="0"/>
        <cfvo type="formula" val="$BO$31"/>
        <cfvo type="formula" val="$BO$31" gte="0"/>
      </iconSet>
    </cfRule>
  </conditionalFormatting>
  <conditionalFormatting sqref="BN46">
    <cfRule type="iconSet" priority="1735">
      <iconSet iconSet="3Arrows">
        <cfvo type="percent" val="0"/>
        <cfvo type="formula" val="$BO$46"/>
        <cfvo type="formula" val="$BO$46" gte="0"/>
      </iconSet>
    </cfRule>
  </conditionalFormatting>
  <conditionalFormatting sqref="BN47">
    <cfRule type="iconSet" priority="1734">
      <iconSet iconSet="3Arrows">
        <cfvo type="percent" val="0"/>
        <cfvo type="formula" val="$BO$47"/>
        <cfvo type="formula" val="$BO$47" gte="0"/>
      </iconSet>
    </cfRule>
  </conditionalFormatting>
  <conditionalFormatting sqref="BN32">
    <cfRule type="iconSet" priority="1733">
      <iconSet iconSet="3Arrows">
        <cfvo type="percent" val="0"/>
        <cfvo type="formula" val="$BO$32"/>
        <cfvo type="formula" val="$BO$32" gte="0"/>
      </iconSet>
    </cfRule>
  </conditionalFormatting>
  <conditionalFormatting sqref="BN60">
    <cfRule type="iconSet" priority="1732">
      <iconSet iconSet="3Arrows">
        <cfvo type="percent" val="0"/>
        <cfvo type="formula" val="$BO$60"/>
        <cfvo type="formula" val="$BO$60" gte="0"/>
      </iconSet>
    </cfRule>
  </conditionalFormatting>
  <conditionalFormatting sqref="BN61">
    <cfRule type="iconSet" priority="1731">
      <iconSet iconSet="3Arrows">
        <cfvo type="percent" val="0"/>
        <cfvo type="formula" val="$BO$61"/>
        <cfvo type="formula" val="$BO$61" gte="0"/>
      </iconSet>
    </cfRule>
  </conditionalFormatting>
  <conditionalFormatting sqref="BN57">
    <cfRule type="iconSet" priority="1730">
      <iconSet iconSet="3Arrows">
        <cfvo type="percent" val="0"/>
        <cfvo type="formula" val="$BO$57"/>
        <cfvo type="formula" val="$BO$57" gte="0"/>
      </iconSet>
    </cfRule>
  </conditionalFormatting>
  <conditionalFormatting sqref="BN33">
    <cfRule type="iconSet" priority="1729">
      <iconSet iconSet="3Arrows">
        <cfvo type="percent" val="0"/>
        <cfvo type="formula" val="$BO$33"/>
        <cfvo type="formula" val="$BO$33" gte="0"/>
      </iconSet>
    </cfRule>
  </conditionalFormatting>
  <conditionalFormatting sqref="BN34">
    <cfRule type="iconSet" priority="1728">
      <iconSet iconSet="3Arrows">
        <cfvo type="percent" val="0"/>
        <cfvo type="formula" val="$BO$34"/>
        <cfvo type="formula" val="$BO$34" gte="0"/>
      </iconSet>
    </cfRule>
  </conditionalFormatting>
  <conditionalFormatting sqref="BN48">
    <cfRule type="iconSet" priority="1727">
      <iconSet iconSet="3Arrows">
        <cfvo type="percent" val="0"/>
        <cfvo type="formula" val="$BO$48"/>
        <cfvo type="formula" val="$BO$48" gte="0"/>
      </iconSet>
    </cfRule>
  </conditionalFormatting>
  <conditionalFormatting sqref="BN19">
    <cfRule type="iconSet" priority="1726">
      <iconSet iconSet="3Arrows">
        <cfvo type="percent" val="0"/>
        <cfvo type="formula" val="$BO$19"/>
        <cfvo type="formula" val="$BO$19" gte="0"/>
      </iconSet>
    </cfRule>
  </conditionalFormatting>
  <conditionalFormatting sqref="BN35">
    <cfRule type="iconSet" priority="1725">
      <iconSet iconSet="3Arrows">
        <cfvo type="percent" val="0"/>
        <cfvo type="formula" val="$BO$35"/>
        <cfvo type="formula" val="$BO$35" gte="0"/>
      </iconSet>
    </cfRule>
  </conditionalFormatting>
  <conditionalFormatting sqref="BN62">
    <cfRule type="iconSet" priority="1724">
      <iconSet iconSet="3Arrows">
        <cfvo type="percent" val="0"/>
        <cfvo type="formula" val="$BO$62"/>
        <cfvo type="formula" val="$BO$62" gte="0"/>
      </iconSet>
    </cfRule>
  </conditionalFormatting>
  <conditionalFormatting sqref="BN36">
    <cfRule type="iconSet" priority="1723">
      <iconSet iconSet="3Arrows">
        <cfvo type="percent" val="0"/>
        <cfvo type="formula" val="$BO$36"/>
        <cfvo type="formula" val="$BO$36" gte="0"/>
      </iconSet>
    </cfRule>
  </conditionalFormatting>
  <conditionalFormatting sqref="BN69">
    <cfRule type="iconSet" priority="1722">
      <iconSet iconSet="3Arrows">
        <cfvo type="percent" val="0"/>
        <cfvo type="formula" val="$BO$69"/>
        <cfvo type="formula" val="$BO$69" gte="0"/>
      </iconSet>
    </cfRule>
  </conditionalFormatting>
  <conditionalFormatting sqref="BN70">
    <cfRule type="iconSet" priority="1721">
      <iconSet iconSet="3Arrows">
        <cfvo type="percent" val="0"/>
        <cfvo type="formula" val="$BO$70"/>
        <cfvo type="formula" val="$BO$70" gte="0"/>
      </iconSet>
    </cfRule>
  </conditionalFormatting>
  <conditionalFormatting sqref="BN71">
    <cfRule type="iconSet" priority="1720">
      <iconSet iconSet="3Arrows">
        <cfvo type="percent" val="0"/>
        <cfvo type="formula" val="$BO$71"/>
        <cfvo type="formula" val="$BO$71" gte="0"/>
      </iconSet>
    </cfRule>
  </conditionalFormatting>
  <conditionalFormatting sqref="BN72">
    <cfRule type="iconSet" priority="1719">
      <iconSet iconSet="3Arrows">
        <cfvo type="percent" val="0"/>
        <cfvo type="formula" val="$BO$72"/>
        <cfvo type="formula" val="$BO$72" gte="0"/>
      </iconSet>
    </cfRule>
  </conditionalFormatting>
  <conditionalFormatting sqref="BN73">
    <cfRule type="iconSet" priority="1718">
      <iconSet iconSet="3Arrows">
        <cfvo type="percent" val="0"/>
        <cfvo type="formula" val="$BO$73"/>
        <cfvo type="formula" val="$BO$73" gte="0"/>
      </iconSet>
    </cfRule>
  </conditionalFormatting>
  <conditionalFormatting sqref="AB6">
    <cfRule type="iconSet" priority="1717">
      <iconSet iconSet="3Arrows">
        <cfvo type="percent" val="0"/>
        <cfvo type="formula" val="$AC$6"/>
        <cfvo type="formula" val="$AC$6" gte="0"/>
      </iconSet>
    </cfRule>
  </conditionalFormatting>
  <conditionalFormatting sqref="AB37">
    <cfRule type="iconSet" priority="1716">
      <iconSet iconSet="3Arrows">
        <cfvo type="percent" val="0"/>
        <cfvo type="formula" val="$AC$37"/>
        <cfvo type="formula" val="$AC$37" gte="0"/>
      </iconSet>
    </cfRule>
  </conditionalFormatting>
  <conditionalFormatting sqref="AB20">
    <cfRule type="iconSet" priority="1715">
      <iconSet iconSet="3Arrows">
        <cfvo type="percent" val="0"/>
        <cfvo type="formula" val="$AC$20"/>
        <cfvo type="formula" val="$AC$20" gte="0"/>
      </iconSet>
    </cfRule>
  </conditionalFormatting>
  <conditionalFormatting sqref="AB38">
    <cfRule type="iconSet" priority="1714">
      <iconSet iconSet="3Arrows">
        <cfvo type="percent" val="0"/>
        <cfvo type="formula" val="$AC$38"/>
        <cfvo type="formula" val="$AC$38" gte="0"/>
      </iconSet>
    </cfRule>
  </conditionalFormatting>
  <conditionalFormatting sqref="AB49">
    <cfRule type="iconSet" priority="1713">
      <iconSet iconSet="3Arrows">
        <cfvo type="percent" val="0"/>
        <cfvo type="formula" val="$AC$49"/>
        <cfvo type="formula" val="$AC$49" gte="0"/>
      </iconSet>
    </cfRule>
  </conditionalFormatting>
  <conditionalFormatting sqref="AB58">
    <cfRule type="iconSet" priority="1712">
      <iconSet iconSet="3Arrows">
        <cfvo type="percent" val="0"/>
        <cfvo type="formula" val="$AC$58"/>
        <cfvo type="formula" val="$AC$58" gte="0"/>
      </iconSet>
    </cfRule>
  </conditionalFormatting>
  <conditionalFormatting sqref="AB7">
    <cfRule type="iconSet" priority="1711">
      <iconSet iconSet="3Arrows">
        <cfvo type="percent" val="0"/>
        <cfvo type="formula" val="$AC$7"/>
        <cfvo type="formula" val="$AC$7" gte="0"/>
      </iconSet>
    </cfRule>
  </conditionalFormatting>
  <conditionalFormatting sqref="AB21">
    <cfRule type="iconSet" priority="1710">
      <iconSet iconSet="3Arrows">
        <cfvo type="percent" val="0"/>
        <cfvo type="formula" val="$AC$21"/>
        <cfvo type="formula" val="$AC$21" gte="0"/>
      </iconSet>
    </cfRule>
  </conditionalFormatting>
  <conditionalFormatting sqref="AB59">
    <cfRule type="iconSet" priority="1709">
      <iconSet iconSet="3Arrows">
        <cfvo type="percent" val="0"/>
        <cfvo type="formula" val="$AC$59"/>
        <cfvo type="formula" val="$AC$59" gte="0"/>
      </iconSet>
    </cfRule>
  </conditionalFormatting>
  <conditionalFormatting sqref="AB50">
    <cfRule type="iconSet" priority="1708">
      <iconSet iconSet="3Arrows">
        <cfvo type="percent" val="0"/>
        <cfvo type="formula" val="$AC$50"/>
        <cfvo type="formula" val="$AC$50" gte="0"/>
      </iconSet>
    </cfRule>
  </conditionalFormatting>
  <conditionalFormatting sqref="AB22">
    <cfRule type="iconSet" priority="1707">
      <iconSet iconSet="3Arrows">
        <cfvo type="percent" val="0"/>
        <cfvo type="formula" val="$AC$22"/>
        <cfvo type="formula" val="$AC$22" gte="0"/>
      </iconSet>
    </cfRule>
  </conditionalFormatting>
  <conditionalFormatting sqref="AB39">
    <cfRule type="iconSet" priority="1706">
      <iconSet iconSet="3Arrows">
        <cfvo type="percent" val="0"/>
        <cfvo type="formula" val="$AC$39"/>
        <cfvo type="formula" val="$AC$39" gte="0"/>
      </iconSet>
    </cfRule>
  </conditionalFormatting>
  <conditionalFormatting sqref="AB51">
    <cfRule type="iconSet" priority="1705">
      <iconSet iconSet="3Arrows">
        <cfvo type="percent" val="0"/>
        <cfvo type="formula" val="$AC$51"/>
        <cfvo type="formula" val="$AC$51" gte="0"/>
      </iconSet>
    </cfRule>
  </conditionalFormatting>
  <conditionalFormatting sqref="AB23">
    <cfRule type="iconSet" priority="1704">
      <iconSet iconSet="3Arrows">
        <cfvo type="percent" val="0"/>
        <cfvo type="formula" val="$AC$23"/>
        <cfvo type="formula" val="$AC$23" gte="0"/>
      </iconSet>
    </cfRule>
  </conditionalFormatting>
  <conditionalFormatting sqref="AB24">
    <cfRule type="iconSet" priority="1703">
      <iconSet iconSet="3Arrows">
        <cfvo type="percent" val="0"/>
        <cfvo type="formula" val="$AC$24"/>
        <cfvo type="formula" val="$AC$24" gte="0"/>
      </iconSet>
    </cfRule>
  </conditionalFormatting>
  <conditionalFormatting sqref="AB25">
    <cfRule type="iconSet" priority="1702">
      <iconSet iconSet="3Arrows">
        <cfvo type="percent" val="0"/>
        <cfvo type="formula" val="$AC$25"/>
        <cfvo type="formula" val="$AC$25" gte="0"/>
      </iconSet>
    </cfRule>
  </conditionalFormatting>
  <conditionalFormatting sqref="AB8">
    <cfRule type="iconSet" priority="1701">
      <iconSet iconSet="3Arrows">
        <cfvo type="percent" val="0"/>
        <cfvo type="formula" val="$AC$8"/>
        <cfvo type="formula" val="$AC$8" gte="0"/>
      </iconSet>
    </cfRule>
  </conditionalFormatting>
  <conditionalFormatting sqref="AB52">
    <cfRule type="iconSet" priority="1700">
      <iconSet iconSet="3Arrows">
        <cfvo type="percent" val="0"/>
        <cfvo type="formula" val="$AC$52"/>
        <cfvo type="formula" val="$AC$52" gte="0"/>
      </iconSet>
    </cfRule>
  </conditionalFormatting>
  <conditionalFormatting sqref="AB53">
    <cfRule type="iconSet" priority="1699">
      <iconSet iconSet="3Arrows">
        <cfvo type="percent" val="0"/>
        <cfvo type="formula" val="$AC$53"/>
        <cfvo type="formula" val="$AC$53" gte="0"/>
      </iconSet>
    </cfRule>
  </conditionalFormatting>
  <conditionalFormatting sqref="AB9">
    <cfRule type="iconSet" priority="1698">
      <iconSet iconSet="3Arrows">
        <cfvo type="percent" val="0"/>
        <cfvo type="formula" val="$AC$9"/>
        <cfvo type="formula" val="$AC$9" gte="0"/>
      </iconSet>
    </cfRule>
  </conditionalFormatting>
  <conditionalFormatting sqref="AB10">
    <cfRule type="iconSet" priority="1697">
      <iconSet iconSet="3Arrows">
        <cfvo type="percent" val="0"/>
        <cfvo type="formula" val="$AC$10"/>
        <cfvo type="formula" val="$AC$10" gte="0"/>
      </iconSet>
    </cfRule>
  </conditionalFormatting>
  <conditionalFormatting sqref="AB26">
    <cfRule type="iconSet" priority="1696">
      <iconSet iconSet="3Arrows">
        <cfvo type="percent" val="0"/>
        <cfvo type="formula" val="$AC$26"/>
        <cfvo type="formula" val="$AC$26" gte="0"/>
      </iconSet>
    </cfRule>
  </conditionalFormatting>
  <conditionalFormatting sqref="AB11">
    <cfRule type="iconSet" priority="1695">
      <iconSet iconSet="3Arrows">
        <cfvo type="percent" val="0"/>
        <cfvo type="formula" val="$AC$11"/>
        <cfvo type="formula" val="$AC$11" gte="0"/>
      </iconSet>
    </cfRule>
  </conditionalFormatting>
  <conditionalFormatting sqref="AB27">
    <cfRule type="iconSet" priority="1694">
      <iconSet iconSet="3Arrows">
        <cfvo type="percent" val="0"/>
        <cfvo type="formula" val="$AC$27"/>
        <cfvo type="formula" val="$AC$27" gte="0"/>
      </iconSet>
    </cfRule>
  </conditionalFormatting>
  <conditionalFormatting sqref="AB40">
    <cfRule type="iconSet" priority="1693">
      <iconSet iconSet="3Arrows">
        <cfvo type="percent" val="0"/>
        <cfvo type="formula" val="$AC$40"/>
        <cfvo type="formula" val="$AC$40" gte="0"/>
      </iconSet>
    </cfRule>
  </conditionalFormatting>
  <conditionalFormatting sqref="AB41">
    <cfRule type="iconSet" priority="1692">
      <iconSet iconSet="3Arrows">
        <cfvo type="percent" val="0"/>
        <cfvo type="formula" val="$AC$41"/>
        <cfvo type="formula" val="$AC$41" gte="0"/>
      </iconSet>
    </cfRule>
  </conditionalFormatting>
  <conditionalFormatting sqref="AB12">
    <cfRule type="iconSet" priority="1691">
      <iconSet iconSet="3Arrows">
        <cfvo type="percent" val="0"/>
        <cfvo type="formula" val="$AC$12"/>
        <cfvo type="formula" val="$AC$12" gte="0"/>
      </iconSet>
    </cfRule>
  </conditionalFormatting>
  <conditionalFormatting sqref="AB13">
    <cfRule type="iconSet" priority="1690">
      <iconSet iconSet="3Arrows">
        <cfvo type="percent" val="0"/>
        <cfvo type="formula" val="$AC$13"/>
        <cfvo type="formula" val="$AC$13" gte="0"/>
      </iconSet>
    </cfRule>
  </conditionalFormatting>
  <conditionalFormatting sqref="AB44">
    <cfRule type="iconSet" priority="1689">
      <iconSet iconSet="3Arrows">
        <cfvo type="percent" val="0"/>
        <cfvo type="formula" val="$AC$44"/>
        <cfvo type="formula" val="$AC$44" gte="0"/>
      </iconSet>
    </cfRule>
  </conditionalFormatting>
  <conditionalFormatting sqref="AB14">
    <cfRule type="iconSet" priority="1688">
      <iconSet iconSet="3Arrows">
        <cfvo type="percent" val="0"/>
        <cfvo type="formula" val="$AC$14"/>
        <cfvo type="formula" val="$AC$14" gte="0"/>
      </iconSet>
    </cfRule>
  </conditionalFormatting>
  <conditionalFormatting sqref="AB45">
    <cfRule type="iconSet" priority="1687">
      <iconSet iconSet="3Arrows">
        <cfvo type="percent" val="0"/>
        <cfvo type="formula" val="$AC$45"/>
        <cfvo type="formula" val="$AC$45" gte="0"/>
      </iconSet>
    </cfRule>
  </conditionalFormatting>
  <conditionalFormatting sqref="AB54">
    <cfRule type="iconSet" priority="1686">
      <iconSet iconSet="3Arrows">
        <cfvo type="percent" val="0"/>
        <cfvo type="formula" val="$AC$54"/>
        <cfvo type="formula" val="$AC$54" gte="0"/>
      </iconSet>
    </cfRule>
  </conditionalFormatting>
  <conditionalFormatting sqref="AB42">
    <cfRule type="iconSet" priority="1685">
      <iconSet iconSet="3Arrows">
        <cfvo type="percent" val="0"/>
        <cfvo type="formula" val="$AC$42"/>
        <cfvo type="formula" val="$AC$42" gte="0"/>
      </iconSet>
    </cfRule>
  </conditionalFormatting>
  <conditionalFormatting sqref="AB15">
    <cfRule type="iconSet" priority="1684">
      <iconSet iconSet="3Arrows">
        <cfvo type="percent" val="0"/>
        <cfvo type="formula" val="$AC$15"/>
        <cfvo type="formula" val="$AC$15" gte="0"/>
      </iconSet>
    </cfRule>
  </conditionalFormatting>
  <conditionalFormatting sqref="AB43">
    <cfRule type="iconSet" priority="1683">
      <iconSet iconSet="3Arrows">
        <cfvo type="percent" val="0"/>
        <cfvo type="formula" val="$AC$43"/>
        <cfvo type="formula" val="$AC$43" gte="0"/>
      </iconSet>
    </cfRule>
  </conditionalFormatting>
  <conditionalFormatting sqref="AB16">
    <cfRule type="iconSet" priority="1682">
      <iconSet iconSet="3Arrows">
        <cfvo type="percent" val="0"/>
        <cfvo type="formula" val="$AC$16"/>
        <cfvo type="formula" val="$AC$16" gte="0"/>
      </iconSet>
    </cfRule>
  </conditionalFormatting>
  <conditionalFormatting sqref="AB17">
    <cfRule type="iconSet" priority="1681">
      <iconSet iconSet="3Arrows">
        <cfvo type="percent" val="0"/>
        <cfvo type="formula" val="$AC$17"/>
        <cfvo type="formula" val="$AC$17" gte="0"/>
      </iconSet>
    </cfRule>
  </conditionalFormatting>
  <conditionalFormatting sqref="AB29">
    <cfRule type="iconSet" priority="1680">
      <iconSet iconSet="3Arrows">
        <cfvo type="percent" val="0"/>
        <cfvo type="formula" val="$AC$29"/>
        <cfvo type="formula" val="$AC$29" gte="0"/>
      </iconSet>
    </cfRule>
  </conditionalFormatting>
  <conditionalFormatting sqref="AB55">
    <cfRule type="iconSet" priority="1679">
      <iconSet iconSet="3Arrows">
        <cfvo type="percent" val="0"/>
        <cfvo type="formula" val="$AC$55"/>
        <cfvo type="formula" val="$AC$55" gte="0"/>
      </iconSet>
    </cfRule>
  </conditionalFormatting>
  <conditionalFormatting sqref="AB28">
    <cfRule type="iconSet" priority="1678">
      <iconSet iconSet="3Arrows">
        <cfvo type="percent" val="0"/>
        <cfvo type="formula" val="$AC$28"/>
        <cfvo type="formula" val="$AC$28" gte="0"/>
      </iconSet>
    </cfRule>
  </conditionalFormatting>
  <conditionalFormatting sqref="AB18">
    <cfRule type="iconSet" priority="1677">
      <iconSet iconSet="3Arrows">
        <cfvo type="percent" val="0"/>
        <cfvo type="formula" val="$AC$18"/>
        <cfvo type="formula" val="$AC$18" gte="0"/>
      </iconSet>
    </cfRule>
  </conditionalFormatting>
  <conditionalFormatting sqref="AB56">
    <cfRule type="iconSet" priority="1676">
      <iconSet iconSet="3Arrows">
        <cfvo type="percent" val="0"/>
        <cfvo type="formula" val="$AC$56"/>
        <cfvo type="formula" val="$AC$56" gte="0"/>
      </iconSet>
    </cfRule>
  </conditionalFormatting>
  <conditionalFormatting sqref="AB30">
    <cfRule type="iconSet" priority="1675">
      <iconSet iconSet="3Arrows">
        <cfvo type="percent" val="0"/>
        <cfvo type="formula" val="$AC$30"/>
        <cfvo type="formula" val="$AC$30" gte="0"/>
      </iconSet>
    </cfRule>
  </conditionalFormatting>
  <conditionalFormatting sqref="AB31">
    <cfRule type="iconSet" priority="1674">
      <iconSet iconSet="3Arrows">
        <cfvo type="percent" val="0"/>
        <cfvo type="formula" val="$AC$31"/>
        <cfvo type="formula" val="$AC$31" gte="0"/>
      </iconSet>
    </cfRule>
  </conditionalFormatting>
  <conditionalFormatting sqref="AB46">
    <cfRule type="iconSet" priority="1673">
      <iconSet iconSet="3Arrows">
        <cfvo type="percent" val="0"/>
        <cfvo type="formula" val="$AC$46"/>
        <cfvo type="formula" val="$AC$46" gte="0"/>
      </iconSet>
    </cfRule>
  </conditionalFormatting>
  <conditionalFormatting sqref="AB47">
    <cfRule type="iconSet" priority="1672">
      <iconSet iconSet="3Arrows">
        <cfvo type="percent" val="0"/>
        <cfvo type="formula" val="$AC$47"/>
        <cfvo type="formula" val="$AC$47" gte="0"/>
      </iconSet>
    </cfRule>
  </conditionalFormatting>
  <conditionalFormatting sqref="AB32">
    <cfRule type="iconSet" priority="1671">
      <iconSet iconSet="3Arrows">
        <cfvo type="percent" val="0"/>
        <cfvo type="formula" val="$AC$32"/>
        <cfvo type="formula" val="$AC$32" gte="0"/>
      </iconSet>
    </cfRule>
  </conditionalFormatting>
  <conditionalFormatting sqref="AB60">
    <cfRule type="iconSet" priority="1670">
      <iconSet iconSet="3Arrows">
        <cfvo type="percent" val="0"/>
        <cfvo type="formula" val="$AC$60"/>
        <cfvo type="formula" val="$AC$60" gte="0"/>
      </iconSet>
    </cfRule>
  </conditionalFormatting>
  <conditionalFormatting sqref="AB61">
    <cfRule type="iconSet" priority="1669">
      <iconSet iconSet="3Arrows">
        <cfvo type="percent" val="0"/>
        <cfvo type="formula" val="$AC$61"/>
        <cfvo type="formula" val="$AC$61" gte="0"/>
      </iconSet>
    </cfRule>
  </conditionalFormatting>
  <conditionalFormatting sqref="AB57">
    <cfRule type="iconSet" priority="1668">
      <iconSet iconSet="3Arrows">
        <cfvo type="percent" val="0"/>
        <cfvo type="formula" val="$AC$57"/>
        <cfvo type="formula" val="$AC$57" gte="0"/>
      </iconSet>
    </cfRule>
  </conditionalFormatting>
  <conditionalFormatting sqref="AB33">
    <cfRule type="iconSet" priority="1667">
      <iconSet iconSet="3Arrows">
        <cfvo type="percent" val="0"/>
        <cfvo type="formula" val="$AC$33"/>
        <cfvo type="formula" val="$AC$33" gte="0"/>
      </iconSet>
    </cfRule>
  </conditionalFormatting>
  <conditionalFormatting sqref="AB34">
    <cfRule type="iconSet" priority="1666">
      <iconSet iconSet="3Arrows">
        <cfvo type="percent" val="0"/>
        <cfvo type="formula" val="$AC$34"/>
        <cfvo type="formula" val="$AC$34" gte="0"/>
      </iconSet>
    </cfRule>
  </conditionalFormatting>
  <conditionalFormatting sqref="AB48">
    <cfRule type="iconSet" priority="1665">
      <iconSet iconSet="3Arrows">
        <cfvo type="percent" val="0"/>
        <cfvo type="formula" val="$AC$48"/>
        <cfvo type="formula" val="$AC$48" gte="0"/>
      </iconSet>
    </cfRule>
  </conditionalFormatting>
  <conditionalFormatting sqref="AB19">
    <cfRule type="iconSet" priority="1664">
      <iconSet iconSet="3Arrows">
        <cfvo type="percent" val="0"/>
        <cfvo type="formula" val="$AC$19"/>
        <cfvo type="formula" val="$AC$19" gte="0"/>
      </iconSet>
    </cfRule>
  </conditionalFormatting>
  <conditionalFormatting sqref="AB35">
    <cfRule type="iconSet" priority="1663">
      <iconSet iconSet="3Arrows">
        <cfvo type="percent" val="0"/>
        <cfvo type="formula" val="$AC$35"/>
        <cfvo type="formula" val="$AC$35" gte="0"/>
      </iconSet>
    </cfRule>
  </conditionalFormatting>
  <conditionalFormatting sqref="AB62">
    <cfRule type="iconSet" priority="1662">
      <iconSet iconSet="3Arrows">
        <cfvo type="percent" val="0"/>
        <cfvo type="formula" val="$AC$62"/>
        <cfvo type="formula" val="$AC$62" gte="0"/>
      </iconSet>
    </cfRule>
  </conditionalFormatting>
  <conditionalFormatting sqref="AB36">
    <cfRule type="iconSet" priority="1661">
      <iconSet iconSet="3Arrows">
        <cfvo type="percent" val="0"/>
        <cfvo type="formula" val="$AC$36"/>
        <cfvo type="formula" val="$AC$36" gte="0"/>
      </iconSet>
    </cfRule>
  </conditionalFormatting>
  <conditionalFormatting sqref="AB69">
    <cfRule type="iconSet" priority="1660">
      <iconSet iconSet="3Arrows">
        <cfvo type="percent" val="0"/>
        <cfvo type="formula" val="$AC$69"/>
        <cfvo type="formula" val="$AC$69" gte="0"/>
      </iconSet>
    </cfRule>
  </conditionalFormatting>
  <conditionalFormatting sqref="AB70">
    <cfRule type="iconSet" priority="1659">
      <iconSet iconSet="3Arrows">
        <cfvo type="percent" val="0"/>
        <cfvo type="formula" val="$AC$70"/>
        <cfvo type="formula" val="$AC$70" gte="0"/>
      </iconSet>
    </cfRule>
  </conditionalFormatting>
  <conditionalFormatting sqref="AB71">
    <cfRule type="iconSet" priority="1658">
      <iconSet iconSet="3Arrows">
        <cfvo type="percent" val="0"/>
        <cfvo type="formula" val="$AC$71"/>
        <cfvo type="formula" val="$AC$71" gte="0"/>
      </iconSet>
    </cfRule>
  </conditionalFormatting>
  <conditionalFormatting sqref="AB72">
    <cfRule type="iconSet" priority="1657">
      <iconSet iconSet="3Arrows">
        <cfvo type="percent" val="0"/>
        <cfvo type="formula" val="$AC$72"/>
        <cfvo type="formula" val="$AC$72" gte="0"/>
      </iconSet>
    </cfRule>
  </conditionalFormatting>
  <conditionalFormatting sqref="AB73">
    <cfRule type="iconSet" priority="1656">
      <iconSet iconSet="3Arrows">
        <cfvo type="percent" val="0"/>
        <cfvo type="formula" val="$AC$73"/>
        <cfvo type="formula" val="$AC$73" gte="0"/>
      </iconSet>
    </cfRule>
  </conditionalFormatting>
  <conditionalFormatting sqref="AN6">
    <cfRule type="iconSet" priority="223">
      <iconSet iconSet="3Arrows">
        <cfvo type="percent" val="0"/>
        <cfvo type="formula" val="$AP$6"/>
        <cfvo type="formula" val="$AP$6" gte="0"/>
      </iconSet>
    </cfRule>
  </conditionalFormatting>
  <conditionalFormatting sqref="AN37">
    <cfRule type="iconSet" priority="1654">
      <iconSet iconSet="3Arrows">
        <cfvo type="percent" val="0"/>
        <cfvo type="formula" val="$AP$37"/>
        <cfvo type="formula" val="$AP$37" gte="0"/>
      </iconSet>
    </cfRule>
  </conditionalFormatting>
  <conditionalFormatting sqref="AN20">
    <cfRule type="iconSet" priority="1653">
      <iconSet iconSet="3Arrows">
        <cfvo type="percent" val="0"/>
        <cfvo type="formula" val="$AP$20"/>
        <cfvo type="formula" val="$AP$20" gte="0"/>
      </iconSet>
    </cfRule>
  </conditionalFormatting>
  <conditionalFormatting sqref="AN49:AN50">
    <cfRule type="iconSet" priority="1652">
      <iconSet iconSet="3Arrows">
        <cfvo type="percent" val="0"/>
        <cfvo type="formula" val="$AP$49"/>
        <cfvo type="formula" val="$AP$49" gte="0"/>
      </iconSet>
    </cfRule>
  </conditionalFormatting>
  <conditionalFormatting sqref="AN7">
    <cfRule type="iconSet" priority="1651">
      <iconSet iconSet="3Arrows">
        <cfvo type="percent" val="0"/>
        <cfvo type="formula" val="$AP$7"/>
        <cfvo type="formula" val="$AP$7" gte="0"/>
      </iconSet>
    </cfRule>
  </conditionalFormatting>
  <conditionalFormatting sqref="AN21">
    <cfRule type="iconSet" priority="1650">
      <iconSet iconSet="3Arrows">
        <cfvo type="percent" val="0"/>
        <cfvo type="formula" val="$AP$21"/>
        <cfvo type="formula" val="$AP$21" gte="0"/>
      </iconSet>
    </cfRule>
  </conditionalFormatting>
  <conditionalFormatting sqref="AN39">
    <cfRule type="iconSet" priority="1649">
      <iconSet iconSet="3Arrows">
        <cfvo type="percent" val="0"/>
        <cfvo type="formula" val="$AP$39"/>
        <cfvo type="formula" val="$AP$39" gte="0"/>
      </iconSet>
    </cfRule>
  </conditionalFormatting>
  <conditionalFormatting sqref="AN51">
    <cfRule type="iconSet" priority="1648">
      <iconSet iconSet="3Arrows">
        <cfvo type="percent" val="0"/>
        <cfvo type="formula" val="$AP$51"/>
        <cfvo type="formula" val="$AP$51" gte="0"/>
      </iconSet>
    </cfRule>
  </conditionalFormatting>
  <conditionalFormatting sqref="AN23">
    <cfRule type="iconSet" priority="1647">
      <iconSet iconSet="3Arrows">
        <cfvo type="percent" val="0"/>
        <cfvo type="formula" val="$AP$23"/>
        <cfvo type="formula" val="$AP$23" gte="0"/>
      </iconSet>
    </cfRule>
  </conditionalFormatting>
  <conditionalFormatting sqref="AN52">
    <cfRule type="iconSet" priority="1646">
      <iconSet iconSet="3Arrows">
        <cfvo type="percent" val="0"/>
        <cfvo type="formula" val="$AP$52"/>
        <cfvo type="formula" val="$AP$52" gte="0"/>
      </iconSet>
    </cfRule>
  </conditionalFormatting>
  <conditionalFormatting sqref="AN53">
    <cfRule type="iconSet" priority="1645">
      <iconSet iconSet="3Arrows">
        <cfvo type="percent" val="0"/>
        <cfvo type="formula" val="$AP$53"/>
        <cfvo type="formula" val="$AP$53" gte="0"/>
      </iconSet>
    </cfRule>
  </conditionalFormatting>
  <conditionalFormatting sqref="AN26">
    <cfRule type="iconSet" priority="1643">
      <iconSet iconSet="3Arrows">
        <cfvo type="percent" val="0"/>
        <cfvo type="formula" val="$AP$26"/>
        <cfvo type="formula" val="$AP$26" gte="0"/>
      </iconSet>
    </cfRule>
  </conditionalFormatting>
  <conditionalFormatting sqref="AN12">
    <cfRule type="iconSet" priority="1641">
      <iconSet iconSet="3Arrows">
        <cfvo type="percent" val="0"/>
        <cfvo type="formula" val="$AP$12"/>
        <cfvo type="formula" val="$AP$12" gte="0"/>
      </iconSet>
    </cfRule>
  </conditionalFormatting>
  <conditionalFormatting sqref="AN13">
    <cfRule type="iconSet" priority="1640">
      <iconSet iconSet="3Arrows">
        <cfvo type="percent" val="0"/>
        <cfvo type="formula" val="$AP$13"/>
        <cfvo type="formula" val="$AP$13" gte="0"/>
      </iconSet>
    </cfRule>
  </conditionalFormatting>
  <conditionalFormatting sqref="AN44">
    <cfRule type="iconSet" priority="1639">
      <iconSet iconSet="3Arrows">
        <cfvo type="percent" val="0"/>
        <cfvo type="formula" val="$AP$44"/>
        <cfvo type="formula" val="$AP$44" gte="0"/>
      </iconSet>
    </cfRule>
  </conditionalFormatting>
  <conditionalFormatting sqref="AN45">
    <cfRule type="iconSet" priority="1638">
      <iconSet iconSet="3Arrows">
        <cfvo type="percent" val="0"/>
        <cfvo type="formula" val="$AP$45"/>
        <cfvo type="formula" val="$AP$45" gte="0"/>
      </iconSet>
    </cfRule>
  </conditionalFormatting>
  <conditionalFormatting sqref="AN54">
    <cfRule type="iconSet" priority="1637">
      <iconSet iconSet="3Arrows">
        <cfvo type="percent" val="0"/>
        <cfvo type="formula" val="$AP$54"/>
        <cfvo type="formula" val="$AP$54" gte="0"/>
      </iconSet>
    </cfRule>
  </conditionalFormatting>
  <conditionalFormatting sqref="AN42">
    <cfRule type="iconSet" priority="1636">
      <iconSet iconSet="3Arrows">
        <cfvo type="percent" val="0"/>
        <cfvo type="formula" val="$AP$42"/>
        <cfvo type="formula" val="$AP$42" gte="0"/>
      </iconSet>
    </cfRule>
  </conditionalFormatting>
  <conditionalFormatting sqref="AN17">
    <cfRule type="iconSet" priority="1635">
      <iconSet iconSet="3Arrows">
        <cfvo type="percent" val="0"/>
        <cfvo type="formula" val="$AP$17"/>
        <cfvo type="formula" val="$AP$17" gte="0"/>
      </iconSet>
    </cfRule>
  </conditionalFormatting>
  <conditionalFormatting sqref="AN29">
    <cfRule type="iconSet" priority="1634">
      <iconSet iconSet="3Arrows">
        <cfvo type="percent" val="0"/>
        <cfvo type="formula" val="$AP$29"/>
        <cfvo type="formula" val="$AP$29" gte="0"/>
      </iconSet>
    </cfRule>
  </conditionalFormatting>
  <conditionalFormatting sqref="AN55">
    <cfRule type="iconSet" priority="1633">
      <iconSet iconSet="3Arrows">
        <cfvo type="percent" val="0"/>
        <cfvo type="formula" val="$AP$55"/>
        <cfvo type="formula" val="$AP$55" gte="0"/>
      </iconSet>
    </cfRule>
  </conditionalFormatting>
  <conditionalFormatting sqref="AN18">
    <cfRule type="iconSet" priority="1632">
      <iconSet iconSet="3Arrows">
        <cfvo type="percent" val="0"/>
        <cfvo type="formula" val="$AP$18"/>
        <cfvo type="formula" val="$AP$18" gte="0"/>
      </iconSet>
    </cfRule>
  </conditionalFormatting>
  <conditionalFormatting sqref="AN30">
    <cfRule type="iconSet" priority="1631">
      <iconSet iconSet="3Arrows">
        <cfvo type="percent" val="0"/>
        <cfvo type="formula" val="$AP$30"/>
        <cfvo type="formula" val="$AP$30" gte="0"/>
      </iconSet>
    </cfRule>
  </conditionalFormatting>
  <conditionalFormatting sqref="AN46">
    <cfRule type="iconSet" priority="1630">
      <iconSet iconSet="3Arrows">
        <cfvo type="percent" val="0"/>
        <cfvo type="formula" val="$AP$46"/>
        <cfvo type="formula" val="$AP$46" gte="0"/>
      </iconSet>
    </cfRule>
  </conditionalFormatting>
  <conditionalFormatting sqref="AN47">
    <cfRule type="iconSet" priority="1629">
      <iconSet iconSet="3Arrows">
        <cfvo type="percent" val="0"/>
        <cfvo type="formula" val="$AP$47"/>
        <cfvo type="formula" val="$AP$47" gte="0"/>
      </iconSet>
    </cfRule>
  </conditionalFormatting>
  <conditionalFormatting sqref="AN58:AN61">
    <cfRule type="iconSet" priority="1628">
      <iconSet iconSet="3Arrows">
        <cfvo type="percent" val="0"/>
        <cfvo type="formula" val="$AP$61"/>
        <cfvo type="formula" val="$AP$61" gte="0"/>
      </iconSet>
    </cfRule>
  </conditionalFormatting>
  <conditionalFormatting sqref="AN57">
    <cfRule type="iconSet" priority="1627">
      <iconSet iconSet="3Arrows">
        <cfvo type="percent" val="0"/>
        <cfvo type="formula" val="$AP$57"/>
        <cfvo type="formula" val="$AP$57" gte="0"/>
      </iconSet>
    </cfRule>
  </conditionalFormatting>
  <conditionalFormatting sqref="AN34">
    <cfRule type="iconSet" priority="1626">
      <iconSet iconSet="3Arrows">
        <cfvo type="percent" val="0"/>
        <cfvo type="formula" val="$AP$34"/>
        <cfvo type="formula" val="$AP$34" gte="0"/>
      </iconSet>
    </cfRule>
  </conditionalFormatting>
  <conditionalFormatting sqref="AN48">
    <cfRule type="iconSet" priority="1625">
      <iconSet iconSet="3Arrows">
        <cfvo type="percent" val="0"/>
        <cfvo type="formula" val="$AP$48"/>
        <cfvo type="formula" val="$AP$48" gte="0"/>
      </iconSet>
    </cfRule>
  </conditionalFormatting>
  <conditionalFormatting sqref="AN35">
    <cfRule type="iconSet" priority="1624">
      <iconSet iconSet="3Arrows">
        <cfvo type="percent" val="0"/>
        <cfvo type="formula" val="$AP$35"/>
        <cfvo type="formula" val="$AP$35" gte="0"/>
      </iconSet>
    </cfRule>
  </conditionalFormatting>
  <conditionalFormatting sqref="AN36">
    <cfRule type="iconSet" priority="1622">
      <iconSet iconSet="3Arrows">
        <cfvo type="percent" val="0"/>
        <cfvo type="formula" val="$AP$36"/>
        <cfvo type="formula" val="$AP$36" gte="0"/>
      </iconSet>
    </cfRule>
  </conditionalFormatting>
  <conditionalFormatting sqref="AN69">
    <cfRule type="iconSet" priority="1621">
      <iconSet iconSet="3Arrows">
        <cfvo type="percent" val="0"/>
        <cfvo type="formula" val="$AP$69"/>
        <cfvo type="formula" val="$AP$69" gte="0"/>
      </iconSet>
    </cfRule>
  </conditionalFormatting>
  <conditionalFormatting sqref="AN70">
    <cfRule type="iconSet" priority="1620">
      <iconSet iconSet="3Arrows">
        <cfvo type="percent" val="0"/>
        <cfvo type="formula" val="$AP$70"/>
        <cfvo type="formula" val="$AP$70" gte="0"/>
      </iconSet>
    </cfRule>
  </conditionalFormatting>
  <conditionalFormatting sqref="AN71">
    <cfRule type="iconSet" priority="1619">
      <iconSet iconSet="3Arrows">
        <cfvo type="percent" val="0"/>
        <cfvo type="formula" val="$AP$71"/>
        <cfvo type="formula" val="$AP$71" gte="0"/>
      </iconSet>
    </cfRule>
  </conditionalFormatting>
  <conditionalFormatting sqref="AN72">
    <cfRule type="iconSet" priority="1618">
      <iconSet iconSet="3Arrows">
        <cfvo type="percent" val="0"/>
        <cfvo type="formula" val="$AP$72"/>
        <cfvo type="formula" val="$AP$72" gte="0"/>
      </iconSet>
    </cfRule>
  </conditionalFormatting>
  <conditionalFormatting sqref="AN73">
    <cfRule type="iconSet" priority="1617">
      <iconSet iconSet="3Arrows">
        <cfvo type="percent" val="0"/>
        <cfvo type="formula" val="$AP$73"/>
        <cfvo type="formula" val="$AP$73" gte="0"/>
      </iconSet>
    </cfRule>
  </conditionalFormatting>
  <conditionalFormatting sqref="AQ6">
    <cfRule type="iconSet" priority="1616">
      <iconSet iconSet="3Arrows">
        <cfvo type="percent" val="0"/>
        <cfvo type="formula" val="$AS$6"/>
        <cfvo type="formula" val="$AS$6" gte="0"/>
      </iconSet>
    </cfRule>
  </conditionalFormatting>
  <conditionalFormatting sqref="AQ37">
    <cfRule type="iconSet" priority="1615">
      <iconSet iconSet="3Arrows">
        <cfvo type="percent" val="0"/>
        <cfvo type="formula" val="$AS$37"/>
        <cfvo type="formula" val="$AS$37" gte="0"/>
      </iconSet>
    </cfRule>
  </conditionalFormatting>
  <conditionalFormatting sqref="AQ20">
    <cfRule type="iconSet" priority="1614">
      <iconSet iconSet="3Arrows">
        <cfvo type="percent" val="0"/>
        <cfvo type="formula" val="$AS$20"/>
        <cfvo type="formula" val="$AS$20" gte="0"/>
      </iconSet>
    </cfRule>
  </conditionalFormatting>
  <conditionalFormatting sqref="AQ49:AQ50">
    <cfRule type="iconSet" priority="1613">
      <iconSet iconSet="3Arrows">
        <cfvo type="percent" val="0"/>
        <cfvo type="formula" val="$AS$49"/>
        <cfvo type="formula" val="$AS$49" gte="0"/>
      </iconSet>
    </cfRule>
  </conditionalFormatting>
  <conditionalFormatting sqref="AQ7">
    <cfRule type="iconSet" priority="1612">
      <iconSet iconSet="3Arrows">
        <cfvo type="percent" val="0"/>
        <cfvo type="formula" val="$AS$7"/>
        <cfvo type="formula" val="$AS$7" gte="0"/>
      </iconSet>
    </cfRule>
  </conditionalFormatting>
  <conditionalFormatting sqref="AQ21">
    <cfRule type="iconSet" priority="1611">
      <iconSet iconSet="3Arrows">
        <cfvo type="percent" val="0"/>
        <cfvo type="formula" val="$AS$21"/>
        <cfvo type="formula" val="$AS$21" gte="0"/>
      </iconSet>
    </cfRule>
  </conditionalFormatting>
  <conditionalFormatting sqref="AQ39">
    <cfRule type="iconSet" priority="1610">
      <iconSet iconSet="3Arrows">
        <cfvo type="percent" val="0"/>
        <cfvo type="formula" val="$AS$39"/>
        <cfvo type="formula" val="$AS$39" gte="0"/>
      </iconSet>
    </cfRule>
  </conditionalFormatting>
  <conditionalFormatting sqref="AQ51">
    <cfRule type="iconSet" priority="1609">
      <iconSet iconSet="3Arrows">
        <cfvo type="percent" val="0"/>
        <cfvo type="formula" val="$AS$51"/>
        <cfvo type="formula" val="$AS$51" gte="0"/>
      </iconSet>
    </cfRule>
  </conditionalFormatting>
  <conditionalFormatting sqref="AQ23">
    <cfRule type="iconSet" priority="1608">
      <iconSet iconSet="3Arrows">
        <cfvo type="percent" val="0"/>
        <cfvo type="formula" val="$AS$23"/>
        <cfvo type="formula" val="$AS$23" gte="0"/>
      </iconSet>
    </cfRule>
  </conditionalFormatting>
  <conditionalFormatting sqref="AQ52">
    <cfRule type="iconSet" priority="1607">
      <iconSet iconSet="3Arrows">
        <cfvo type="percent" val="0"/>
        <cfvo type="formula" val="$AS$52"/>
        <cfvo type="formula" val="$AS$52" gte="0"/>
      </iconSet>
    </cfRule>
  </conditionalFormatting>
  <conditionalFormatting sqref="AQ53">
    <cfRule type="iconSet" priority="1606">
      <iconSet iconSet="3Arrows">
        <cfvo type="percent" val="0"/>
        <cfvo type="formula" val="$AS$53"/>
        <cfvo type="formula" val="$AS$53" gte="0"/>
      </iconSet>
    </cfRule>
  </conditionalFormatting>
  <conditionalFormatting sqref="AQ9">
    <cfRule type="iconSet" priority="1605">
      <iconSet iconSet="3Arrows">
        <cfvo type="percent" val="0"/>
        <cfvo type="formula" val="$AS$9"/>
        <cfvo type="formula" val="$AS$9" gte="0"/>
      </iconSet>
    </cfRule>
  </conditionalFormatting>
  <conditionalFormatting sqref="AQ26">
    <cfRule type="iconSet" priority="1604">
      <iconSet iconSet="3Arrows">
        <cfvo type="percent" val="0"/>
        <cfvo type="formula" val="$AS$26"/>
        <cfvo type="formula" val="$AS$26" gte="0"/>
      </iconSet>
    </cfRule>
  </conditionalFormatting>
  <conditionalFormatting sqref="AQ12">
    <cfRule type="iconSet" priority="1602">
      <iconSet iconSet="3Arrows">
        <cfvo type="percent" val="0"/>
        <cfvo type="formula" val="$AS$12"/>
        <cfvo type="formula" val="$AS$12" gte="0"/>
      </iconSet>
    </cfRule>
  </conditionalFormatting>
  <conditionalFormatting sqref="AQ13">
    <cfRule type="iconSet" priority="1601">
      <iconSet iconSet="3Arrows">
        <cfvo type="percent" val="0"/>
        <cfvo type="formula" val="$AS$13"/>
        <cfvo type="formula" val="$AS$13" gte="0"/>
      </iconSet>
    </cfRule>
  </conditionalFormatting>
  <conditionalFormatting sqref="AQ44">
    <cfRule type="iconSet" priority="1600">
      <iconSet iconSet="3Arrows">
        <cfvo type="percent" val="0"/>
        <cfvo type="formula" val="$AS$44"/>
        <cfvo type="formula" val="$AS$44" gte="0"/>
      </iconSet>
    </cfRule>
  </conditionalFormatting>
  <conditionalFormatting sqref="AQ45">
    <cfRule type="iconSet" priority="1599">
      <iconSet iconSet="3Arrows">
        <cfvo type="percent" val="0"/>
        <cfvo type="formula" val="$AS$45"/>
        <cfvo type="formula" val="$AS$45" gte="0"/>
      </iconSet>
    </cfRule>
  </conditionalFormatting>
  <conditionalFormatting sqref="AQ54">
    <cfRule type="iconSet" priority="1598">
      <iconSet iconSet="3Arrows">
        <cfvo type="percent" val="0"/>
        <cfvo type="formula" val="$AS$54"/>
        <cfvo type="formula" val="$AS$54" gte="0"/>
      </iconSet>
    </cfRule>
  </conditionalFormatting>
  <conditionalFormatting sqref="AQ42">
    <cfRule type="iconSet" priority="1597">
      <iconSet iconSet="3Arrows">
        <cfvo type="percent" val="0"/>
        <cfvo type="formula" val="$AS$42"/>
        <cfvo type="formula" val="$AS$42" gte="0"/>
      </iconSet>
    </cfRule>
  </conditionalFormatting>
  <conditionalFormatting sqref="AQ17">
    <cfRule type="iconSet" priority="1596">
      <iconSet iconSet="3Arrows">
        <cfvo type="percent" val="0"/>
        <cfvo type="formula" val="$AS$17"/>
        <cfvo type="formula" val="$AS$17" gte="0"/>
      </iconSet>
    </cfRule>
  </conditionalFormatting>
  <conditionalFormatting sqref="AQ29">
    <cfRule type="iconSet" priority="1595">
      <iconSet iconSet="3Arrows">
        <cfvo type="percent" val="0"/>
        <cfvo type="formula" val="$AS$29"/>
        <cfvo type="formula" val="$AS$29" gte="0"/>
      </iconSet>
    </cfRule>
  </conditionalFormatting>
  <conditionalFormatting sqref="AQ55">
    <cfRule type="iconSet" priority="1594">
      <iconSet iconSet="3Arrows">
        <cfvo type="percent" val="0"/>
        <cfvo type="formula" val="$AS$55"/>
        <cfvo type="formula" val="$AS$55" gte="0"/>
      </iconSet>
    </cfRule>
  </conditionalFormatting>
  <conditionalFormatting sqref="AQ18">
    <cfRule type="iconSet" priority="1593">
      <iconSet iconSet="3Arrows">
        <cfvo type="percent" val="0"/>
        <cfvo type="formula" val="$AS$18"/>
        <cfvo type="formula" val="$AS$18" gte="0"/>
      </iconSet>
    </cfRule>
  </conditionalFormatting>
  <conditionalFormatting sqref="AQ30">
    <cfRule type="iconSet" priority="1592">
      <iconSet iconSet="3Arrows">
        <cfvo type="percent" val="0"/>
        <cfvo type="formula" val="$AS$30"/>
        <cfvo type="formula" val="$AS$30" gte="0"/>
      </iconSet>
    </cfRule>
  </conditionalFormatting>
  <conditionalFormatting sqref="AQ46">
    <cfRule type="iconSet" priority="1591">
      <iconSet iconSet="3Arrows">
        <cfvo type="percent" val="0"/>
        <cfvo type="formula" val="$AS$46"/>
        <cfvo type="formula" val="$AS$46" gte="0"/>
      </iconSet>
    </cfRule>
  </conditionalFormatting>
  <conditionalFormatting sqref="AQ47">
    <cfRule type="iconSet" priority="1590">
      <iconSet iconSet="3Arrows">
        <cfvo type="percent" val="0"/>
        <cfvo type="formula" val="$AS$47"/>
        <cfvo type="formula" val="$AS$47" gte="0"/>
      </iconSet>
    </cfRule>
  </conditionalFormatting>
  <conditionalFormatting sqref="AQ58:AQ61">
    <cfRule type="iconSet" priority="1589">
      <iconSet iconSet="3Arrows">
        <cfvo type="percent" val="0"/>
        <cfvo type="formula" val="$AS$61"/>
        <cfvo type="formula" val="$AS$61" gte="0"/>
      </iconSet>
    </cfRule>
  </conditionalFormatting>
  <conditionalFormatting sqref="AQ57">
    <cfRule type="iconSet" priority="1588">
      <iconSet iconSet="3Arrows">
        <cfvo type="percent" val="0"/>
        <cfvo type="formula" val="$AS$57"/>
        <cfvo type="formula" val="$AS$57" gte="0"/>
      </iconSet>
    </cfRule>
  </conditionalFormatting>
  <conditionalFormatting sqref="AQ34">
    <cfRule type="iconSet" priority="1587">
      <iconSet iconSet="3Arrows">
        <cfvo type="percent" val="0"/>
        <cfvo type="formula" val="$AS$34"/>
        <cfvo type="formula" val="$AS$34" gte="0"/>
      </iconSet>
    </cfRule>
  </conditionalFormatting>
  <conditionalFormatting sqref="AQ48">
    <cfRule type="iconSet" priority="1586">
      <iconSet iconSet="3Arrows">
        <cfvo type="percent" val="0"/>
        <cfvo type="formula" val="$AS$48"/>
        <cfvo type="formula" val="$AS$48" gte="0"/>
      </iconSet>
    </cfRule>
  </conditionalFormatting>
  <conditionalFormatting sqref="AQ35">
    <cfRule type="iconSet" priority="1585">
      <iconSet iconSet="3Arrows">
        <cfvo type="percent" val="0"/>
        <cfvo type="formula" val="$AS$35"/>
        <cfvo type="formula" val="$AS$35" gte="0"/>
      </iconSet>
    </cfRule>
  </conditionalFormatting>
  <conditionalFormatting sqref="AQ36">
    <cfRule type="iconSet" priority="1583">
      <iconSet iconSet="3Arrows">
        <cfvo type="percent" val="0"/>
        <cfvo type="formula" val="$AS$36"/>
        <cfvo type="formula" val="$AS$36" gte="0"/>
      </iconSet>
    </cfRule>
  </conditionalFormatting>
  <conditionalFormatting sqref="AQ69">
    <cfRule type="iconSet" priority="1582">
      <iconSet iconSet="3Arrows">
        <cfvo type="percent" val="0"/>
        <cfvo type="formula" val="$AS$69"/>
        <cfvo type="formula" val="$AS$69" gte="0"/>
      </iconSet>
    </cfRule>
  </conditionalFormatting>
  <conditionalFormatting sqref="AQ70">
    <cfRule type="iconSet" priority="1581">
      <iconSet iconSet="3Arrows">
        <cfvo type="percent" val="0"/>
        <cfvo type="formula" val="$AS$70"/>
        <cfvo type="formula" val="$AS$70" gte="0"/>
      </iconSet>
    </cfRule>
  </conditionalFormatting>
  <conditionalFormatting sqref="AQ71">
    <cfRule type="iconSet" priority="1580">
      <iconSet iconSet="3Arrows">
        <cfvo type="percent" val="0"/>
        <cfvo type="formula" val="$AS$71"/>
        <cfvo type="formula" val="$AS$71" gte="0"/>
      </iconSet>
    </cfRule>
  </conditionalFormatting>
  <conditionalFormatting sqref="AQ72">
    <cfRule type="iconSet" priority="1579">
      <iconSet iconSet="3Arrows">
        <cfvo type="percent" val="0"/>
        <cfvo type="formula" val="$AS$72"/>
        <cfvo type="formula" val="$AS$72" gte="0"/>
      </iconSet>
    </cfRule>
  </conditionalFormatting>
  <conditionalFormatting sqref="AQ73">
    <cfRule type="iconSet" priority="1578">
      <iconSet iconSet="3Arrows">
        <cfvo type="percent" val="0"/>
        <cfvo type="formula" val="$AS$73"/>
        <cfvo type="formula" val="$AS$73" gte="0"/>
      </iconSet>
    </cfRule>
  </conditionalFormatting>
  <conditionalFormatting sqref="AT6">
    <cfRule type="iconSet" priority="1577">
      <iconSet iconSet="3Arrows">
        <cfvo type="percent" val="0"/>
        <cfvo type="formula" val="$AV$6"/>
        <cfvo type="formula" val="$AV$6" gte="0"/>
      </iconSet>
    </cfRule>
  </conditionalFormatting>
  <conditionalFormatting sqref="AT37">
    <cfRule type="iconSet" priority="1576">
      <iconSet iconSet="3Arrows">
        <cfvo type="percent" val="0"/>
        <cfvo type="formula" val="$AV$37"/>
        <cfvo type="formula" val="$AV$37" gte="0"/>
      </iconSet>
    </cfRule>
  </conditionalFormatting>
  <conditionalFormatting sqref="AT20">
    <cfRule type="iconSet" priority="1575">
      <iconSet iconSet="3Arrows">
        <cfvo type="percent" val="0"/>
        <cfvo type="formula" val="$AV$20"/>
        <cfvo type="formula" val="$AV$20" gte="0"/>
      </iconSet>
    </cfRule>
  </conditionalFormatting>
  <conditionalFormatting sqref="AT49:AT50">
    <cfRule type="iconSet" priority="1574">
      <iconSet iconSet="3Arrows">
        <cfvo type="percent" val="0"/>
        <cfvo type="formula" val="$AV$49"/>
        <cfvo type="formula" val="$AV$49" gte="0"/>
      </iconSet>
    </cfRule>
  </conditionalFormatting>
  <conditionalFormatting sqref="AT7">
    <cfRule type="iconSet" priority="1573">
      <iconSet iconSet="3Arrows">
        <cfvo type="percent" val="0"/>
        <cfvo type="formula" val="$AV$7"/>
        <cfvo type="formula" val="$AV$7" gte="0"/>
      </iconSet>
    </cfRule>
  </conditionalFormatting>
  <conditionalFormatting sqref="AT21">
    <cfRule type="iconSet" priority="1572">
      <iconSet iconSet="3Arrows">
        <cfvo type="percent" val="0"/>
        <cfvo type="formula" val="$AV$21"/>
        <cfvo type="formula" val="$AV$21" gte="0"/>
      </iconSet>
    </cfRule>
  </conditionalFormatting>
  <conditionalFormatting sqref="AT39">
    <cfRule type="iconSet" priority="1571">
      <iconSet iconSet="3Arrows">
        <cfvo type="percent" val="0"/>
        <cfvo type="formula" val="$AV$39"/>
        <cfvo type="formula" val="$AV$39" gte="0"/>
      </iconSet>
    </cfRule>
  </conditionalFormatting>
  <conditionalFormatting sqref="AT51">
    <cfRule type="iconSet" priority="1570">
      <iconSet iconSet="3Arrows">
        <cfvo type="percent" val="0"/>
        <cfvo type="formula" val="$AV$51"/>
        <cfvo type="formula" val="$AV$51" gte="0"/>
      </iconSet>
    </cfRule>
  </conditionalFormatting>
  <conditionalFormatting sqref="AT23">
    <cfRule type="iconSet" priority="1569">
      <iconSet iconSet="3Arrows">
        <cfvo type="percent" val="0"/>
        <cfvo type="formula" val="$AV$23"/>
        <cfvo type="formula" val="$AV$23" gte="0"/>
      </iconSet>
    </cfRule>
  </conditionalFormatting>
  <conditionalFormatting sqref="AT52">
    <cfRule type="iconSet" priority="1568">
      <iconSet iconSet="3Arrows">
        <cfvo type="percent" val="0"/>
        <cfvo type="formula" val="$AV$52"/>
        <cfvo type="formula" val="$AV$52" gte="0"/>
      </iconSet>
    </cfRule>
  </conditionalFormatting>
  <conditionalFormatting sqref="AT53">
    <cfRule type="iconSet" priority="1567">
      <iconSet iconSet="3Arrows">
        <cfvo type="percent" val="0"/>
        <cfvo type="formula" val="$AV$53"/>
        <cfvo type="formula" val="$AV$53" gte="0"/>
      </iconSet>
    </cfRule>
  </conditionalFormatting>
  <conditionalFormatting sqref="AT9">
    <cfRule type="iconSet" priority="1566">
      <iconSet iconSet="3Arrows">
        <cfvo type="percent" val="0"/>
        <cfvo type="formula" val="$AV$9"/>
        <cfvo type="formula" val="$AV$9" gte="0"/>
      </iconSet>
    </cfRule>
  </conditionalFormatting>
  <conditionalFormatting sqref="AT26">
    <cfRule type="iconSet" priority="1565">
      <iconSet iconSet="3Arrows">
        <cfvo type="percent" val="0"/>
        <cfvo type="formula" val="$AV$26"/>
        <cfvo type="formula" val="$AV$26" gte="0"/>
      </iconSet>
    </cfRule>
  </conditionalFormatting>
  <conditionalFormatting sqref="AT12">
    <cfRule type="iconSet" priority="1563">
      <iconSet iconSet="3Arrows">
        <cfvo type="percent" val="0"/>
        <cfvo type="formula" val="$AV$12"/>
        <cfvo type="formula" val="$AV$12" gte="0"/>
      </iconSet>
    </cfRule>
  </conditionalFormatting>
  <conditionalFormatting sqref="AT13">
    <cfRule type="iconSet" priority="1562">
      <iconSet iconSet="3Arrows">
        <cfvo type="percent" val="0"/>
        <cfvo type="formula" val="$AV$13"/>
        <cfvo type="formula" val="$AV$13" gte="0"/>
      </iconSet>
    </cfRule>
  </conditionalFormatting>
  <conditionalFormatting sqref="AT44">
    <cfRule type="iconSet" priority="1561">
      <iconSet iconSet="3Arrows">
        <cfvo type="percent" val="0"/>
        <cfvo type="formula" val="$AV$44"/>
        <cfvo type="formula" val="$AV$44" gte="0"/>
      </iconSet>
    </cfRule>
  </conditionalFormatting>
  <conditionalFormatting sqref="AT45">
    <cfRule type="iconSet" priority="1560">
      <iconSet iconSet="3Arrows">
        <cfvo type="percent" val="0"/>
        <cfvo type="formula" val="$AV$45"/>
        <cfvo type="formula" val="$AV$45" gte="0"/>
      </iconSet>
    </cfRule>
  </conditionalFormatting>
  <conditionalFormatting sqref="AT54">
    <cfRule type="iconSet" priority="1559">
      <iconSet iconSet="3Arrows">
        <cfvo type="percent" val="0"/>
        <cfvo type="formula" val="$AV$54"/>
        <cfvo type="formula" val="$AV$54" gte="0"/>
      </iconSet>
    </cfRule>
  </conditionalFormatting>
  <conditionalFormatting sqref="AT42">
    <cfRule type="iconSet" priority="1558">
      <iconSet iconSet="3Arrows">
        <cfvo type="percent" val="0"/>
        <cfvo type="formula" val="$AV$42"/>
        <cfvo type="formula" val="$AV$42" gte="0"/>
      </iconSet>
    </cfRule>
  </conditionalFormatting>
  <conditionalFormatting sqref="AT17">
    <cfRule type="iconSet" priority="1557">
      <iconSet iconSet="3Arrows">
        <cfvo type="percent" val="0"/>
        <cfvo type="formula" val="$AV$17"/>
        <cfvo type="formula" val="$AV$17" gte="0"/>
      </iconSet>
    </cfRule>
  </conditionalFormatting>
  <conditionalFormatting sqref="AT29">
    <cfRule type="iconSet" priority="1556">
      <iconSet iconSet="3Arrows">
        <cfvo type="percent" val="0"/>
        <cfvo type="formula" val="$AV$29"/>
        <cfvo type="formula" val="$AV$29" gte="0"/>
      </iconSet>
    </cfRule>
  </conditionalFormatting>
  <conditionalFormatting sqref="AT55">
    <cfRule type="iconSet" priority="1555">
      <iconSet iconSet="3Arrows">
        <cfvo type="percent" val="0"/>
        <cfvo type="formula" val="$AV$55"/>
        <cfvo type="formula" val="$AV$55" gte="0"/>
      </iconSet>
    </cfRule>
  </conditionalFormatting>
  <conditionalFormatting sqref="AT18">
    <cfRule type="iconSet" priority="1554">
      <iconSet iconSet="3Arrows">
        <cfvo type="percent" val="0"/>
        <cfvo type="formula" val="$AV$18"/>
        <cfvo type="formula" val="$AV$18" gte="0"/>
      </iconSet>
    </cfRule>
  </conditionalFormatting>
  <conditionalFormatting sqref="AT30">
    <cfRule type="iconSet" priority="1553">
      <iconSet iconSet="3Arrows">
        <cfvo type="percent" val="0"/>
        <cfvo type="formula" val="$AV$30"/>
        <cfvo type="formula" val="$AV$30" gte="0"/>
      </iconSet>
    </cfRule>
  </conditionalFormatting>
  <conditionalFormatting sqref="AT46">
    <cfRule type="iconSet" priority="1552">
      <iconSet iconSet="3Arrows">
        <cfvo type="percent" val="0"/>
        <cfvo type="formula" val="$AV$46"/>
        <cfvo type="formula" val="$AV$46" gte="0"/>
      </iconSet>
    </cfRule>
  </conditionalFormatting>
  <conditionalFormatting sqref="AT47">
    <cfRule type="iconSet" priority="1551">
      <iconSet iconSet="3Arrows">
        <cfvo type="percent" val="0"/>
        <cfvo type="formula" val="$AV$47"/>
        <cfvo type="formula" val="$AV$47" gte="0"/>
      </iconSet>
    </cfRule>
  </conditionalFormatting>
  <conditionalFormatting sqref="AT58:AT61">
    <cfRule type="iconSet" priority="1550">
      <iconSet iconSet="3Arrows">
        <cfvo type="percent" val="0"/>
        <cfvo type="formula" val="$AV$61"/>
        <cfvo type="formula" val="$AV$61" gte="0"/>
      </iconSet>
    </cfRule>
  </conditionalFormatting>
  <conditionalFormatting sqref="AT57">
    <cfRule type="iconSet" priority="1549">
      <iconSet iconSet="3Arrows">
        <cfvo type="percent" val="0"/>
        <cfvo type="formula" val="$AV$57"/>
        <cfvo type="formula" val="$AV$57" gte="0"/>
      </iconSet>
    </cfRule>
  </conditionalFormatting>
  <conditionalFormatting sqref="AT34">
    <cfRule type="iconSet" priority="1548">
      <iconSet iconSet="3Arrows">
        <cfvo type="percent" val="0"/>
        <cfvo type="formula" val="$AV$34"/>
        <cfvo type="formula" val="$AV$34" gte="0"/>
      </iconSet>
    </cfRule>
  </conditionalFormatting>
  <conditionalFormatting sqref="AT48">
    <cfRule type="iconSet" priority="1547">
      <iconSet iconSet="3Arrows">
        <cfvo type="percent" val="0"/>
        <cfvo type="formula" val="$AV$48"/>
        <cfvo type="formula" val="$AV$48" gte="0"/>
      </iconSet>
    </cfRule>
  </conditionalFormatting>
  <conditionalFormatting sqref="AT35">
    <cfRule type="iconSet" priority="1546">
      <iconSet iconSet="3Arrows">
        <cfvo type="percent" val="0"/>
        <cfvo type="formula" val="$AV$35"/>
        <cfvo type="formula" val="$AV$35" gte="0"/>
      </iconSet>
    </cfRule>
  </conditionalFormatting>
  <conditionalFormatting sqref="AT36">
    <cfRule type="iconSet" priority="1544">
      <iconSet iconSet="3Arrows">
        <cfvo type="percent" val="0"/>
        <cfvo type="formula" val="$AV$36"/>
        <cfvo type="formula" val="$AV$36" gte="0"/>
      </iconSet>
    </cfRule>
  </conditionalFormatting>
  <conditionalFormatting sqref="AT69">
    <cfRule type="iconSet" priority="1543">
      <iconSet iconSet="3Arrows">
        <cfvo type="percent" val="0"/>
        <cfvo type="formula" val="$AV$69"/>
        <cfvo type="formula" val="$AV$69" gte="0"/>
      </iconSet>
    </cfRule>
  </conditionalFormatting>
  <conditionalFormatting sqref="AT70">
    <cfRule type="iconSet" priority="1542">
      <iconSet iconSet="3Arrows">
        <cfvo type="percent" val="0"/>
        <cfvo type="formula" val="$AV$70"/>
        <cfvo type="formula" val="$AV$70" gte="0"/>
      </iconSet>
    </cfRule>
  </conditionalFormatting>
  <conditionalFormatting sqref="AT71">
    <cfRule type="iconSet" priority="1541">
      <iconSet iconSet="3Arrows">
        <cfvo type="percent" val="0"/>
        <cfvo type="formula" val="$AV$71"/>
        <cfvo type="formula" val="$AV$71" gte="0"/>
      </iconSet>
    </cfRule>
  </conditionalFormatting>
  <conditionalFormatting sqref="AT72">
    <cfRule type="iconSet" priority="1540">
      <iconSet iconSet="3Arrows">
        <cfvo type="percent" val="0"/>
        <cfvo type="formula" val="$AV$72"/>
        <cfvo type="formula" val="$AV$72" gte="0"/>
      </iconSet>
    </cfRule>
  </conditionalFormatting>
  <conditionalFormatting sqref="AT73">
    <cfRule type="iconSet" priority="1539">
      <iconSet iconSet="3Arrows">
        <cfvo type="percent" val="0"/>
        <cfvo type="formula" val="$AV$73"/>
        <cfvo type="formula" val="$AV$73" gte="0"/>
      </iconSet>
    </cfRule>
  </conditionalFormatting>
  <conditionalFormatting sqref="AW6">
    <cfRule type="iconSet" priority="1538">
      <iconSet iconSet="3Arrows">
        <cfvo type="percent" val="0"/>
        <cfvo type="formula" val="$AY$6"/>
        <cfvo type="formula" val="$AY$6" gte="0"/>
      </iconSet>
    </cfRule>
  </conditionalFormatting>
  <conditionalFormatting sqref="AW37">
    <cfRule type="iconSet" priority="1537">
      <iconSet iconSet="3Arrows">
        <cfvo type="percent" val="0"/>
        <cfvo type="formula" val="$AY$37"/>
        <cfvo type="formula" val="$AY$37" gte="0"/>
      </iconSet>
    </cfRule>
  </conditionalFormatting>
  <conditionalFormatting sqref="AW49:AW50">
    <cfRule type="iconSet" priority="1535">
      <iconSet iconSet="3Arrows">
        <cfvo type="percent" val="0"/>
        <cfvo type="formula" val="$AY$49"/>
        <cfvo type="formula" val="$AY$49" gte="0"/>
      </iconSet>
    </cfRule>
  </conditionalFormatting>
  <conditionalFormatting sqref="AW7">
    <cfRule type="iconSet" priority="1534">
      <iconSet iconSet="3Arrows">
        <cfvo type="percent" val="0"/>
        <cfvo type="formula" val="$AY$7"/>
        <cfvo type="formula" val="$AY$7" gte="0"/>
      </iconSet>
    </cfRule>
  </conditionalFormatting>
  <conditionalFormatting sqref="AW21">
    <cfRule type="iconSet" priority="1533">
      <iconSet iconSet="3Arrows">
        <cfvo type="percent" val="0"/>
        <cfvo type="formula" val="$AY$21"/>
        <cfvo type="formula" val="$AY$21" gte="0"/>
      </iconSet>
    </cfRule>
  </conditionalFormatting>
  <conditionalFormatting sqref="AW39">
    <cfRule type="iconSet" priority="1532">
      <iconSet iconSet="3Arrows">
        <cfvo type="percent" val="0"/>
        <cfvo type="formula" val="$AY$39"/>
        <cfvo type="formula" val="$AY$39" gte="0"/>
      </iconSet>
    </cfRule>
  </conditionalFormatting>
  <conditionalFormatting sqref="AW51">
    <cfRule type="iconSet" priority="1531">
      <iconSet iconSet="3Arrows">
        <cfvo type="percent" val="0"/>
        <cfvo type="formula" val="$AY$51"/>
        <cfvo type="formula" val="$AY$51" gte="0"/>
      </iconSet>
    </cfRule>
  </conditionalFormatting>
  <conditionalFormatting sqref="AW23">
    <cfRule type="iconSet" priority="1530">
      <iconSet iconSet="3Arrows">
        <cfvo type="percent" val="0"/>
        <cfvo type="formula" val="$AY$23"/>
        <cfvo type="formula" val="$AY$23" gte="0"/>
      </iconSet>
    </cfRule>
  </conditionalFormatting>
  <conditionalFormatting sqref="AW52">
    <cfRule type="iconSet" priority="1529">
      <iconSet iconSet="3Arrows">
        <cfvo type="percent" val="0"/>
        <cfvo type="formula" val="$AY$52"/>
        <cfvo type="formula" val="$AY$52" gte="0"/>
      </iconSet>
    </cfRule>
  </conditionalFormatting>
  <conditionalFormatting sqref="AW53">
    <cfRule type="iconSet" priority="1528">
      <iconSet iconSet="3Arrows">
        <cfvo type="percent" val="0"/>
        <cfvo type="formula" val="$AY$53"/>
        <cfvo type="formula" val="$AY$53" gte="0"/>
      </iconSet>
    </cfRule>
  </conditionalFormatting>
  <conditionalFormatting sqref="AW9">
    <cfRule type="iconSet" priority="1527">
      <iconSet iconSet="3Arrows">
        <cfvo type="percent" val="0"/>
        <cfvo type="formula" val="$AY$9"/>
        <cfvo type="formula" val="$AY$9" gte="0"/>
      </iconSet>
    </cfRule>
  </conditionalFormatting>
  <conditionalFormatting sqref="AW26">
    <cfRule type="iconSet" priority="1526">
      <iconSet iconSet="3Arrows">
        <cfvo type="percent" val="0"/>
        <cfvo type="formula" val="$AY$26"/>
        <cfvo type="formula" val="$AY$26" gte="0"/>
      </iconSet>
    </cfRule>
  </conditionalFormatting>
  <conditionalFormatting sqref="AW12">
    <cfRule type="iconSet" priority="1524">
      <iconSet iconSet="3Arrows">
        <cfvo type="percent" val="0"/>
        <cfvo type="formula" val="$AY$12"/>
        <cfvo type="formula" val="$AY$12" gte="0"/>
      </iconSet>
    </cfRule>
  </conditionalFormatting>
  <conditionalFormatting sqref="AW13">
    <cfRule type="iconSet" priority="1523">
      <iconSet iconSet="3Arrows">
        <cfvo type="percent" val="0"/>
        <cfvo type="formula" val="$AY$13"/>
        <cfvo type="formula" val="$AY$13" gte="0"/>
      </iconSet>
    </cfRule>
  </conditionalFormatting>
  <conditionalFormatting sqref="AW44">
    <cfRule type="iconSet" priority="1522">
      <iconSet iconSet="3Arrows">
        <cfvo type="percent" val="0"/>
        <cfvo type="formula" val="$AY$44"/>
        <cfvo type="formula" val="$AY$44" gte="0"/>
      </iconSet>
    </cfRule>
  </conditionalFormatting>
  <conditionalFormatting sqref="AW45">
    <cfRule type="iconSet" priority="1521">
      <iconSet iconSet="3Arrows">
        <cfvo type="percent" val="0"/>
        <cfvo type="formula" val="$AY$45"/>
        <cfvo type="formula" val="$AY$45" gte="0"/>
      </iconSet>
    </cfRule>
  </conditionalFormatting>
  <conditionalFormatting sqref="AW54">
    <cfRule type="iconSet" priority="1520">
      <iconSet iconSet="3Arrows">
        <cfvo type="percent" val="0"/>
        <cfvo type="formula" val="$AY$54"/>
        <cfvo type="formula" val="$AY$54" gte="0"/>
      </iconSet>
    </cfRule>
  </conditionalFormatting>
  <conditionalFormatting sqref="AW42">
    <cfRule type="iconSet" priority="1519">
      <iconSet iconSet="3Arrows">
        <cfvo type="percent" val="0"/>
        <cfvo type="formula" val="$AY$42"/>
        <cfvo type="formula" val="$AY$42" gte="0"/>
      </iconSet>
    </cfRule>
  </conditionalFormatting>
  <conditionalFormatting sqref="AW17">
    <cfRule type="iconSet" priority="1518">
      <iconSet iconSet="3Arrows">
        <cfvo type="percent" val="0"/>
        <cfvo type="formula" val="$AY$17"/>
        <cfvo type="formula" val="$AY$17" gte="0"/>
      </iconSet>
    </cfRule>
  </conditionalFormatting>
  <conditionalFormatting sqref="AW29">
    <cfRule type="iconSet" priority="1517">
      <iconSet iconSet="3Arrows">
        <cfvo type="percent" val="0"/>
        <cfvo type="formula" val="$AY$29"/>
        <cfvo type="formula" val="$AY$29" gte="0"/>
      </iconSet>
    </cfRule>
  </conditionalFormatting>
  <conditionalFormatting sqref="AW55">
    <cfRule type="iconSet" priority="1516">
      <iconSet iconSet="3Arrows">
        <cfvo type="percent" val="0"/>
        <cfvo type="formula" val="$AY$55"/>
        <cfvo type="formula" val="$AY$55" gte="0"/>
      </iconSet>
    </cfRule>
  </conditionalFormatting>
  <conditionalFormatting sqref="AW18">
    <cfRule type="iconSet" priority="1515">
      <iconSet iconSet="3Arrows">
        <cfvo type="percent" val="0"/>
        <cfvo type="formula" val="$AY$18"/>
        <cfvo type="formula" val="$AY$18" gte="0"/>
      </iconSet>
    </cfRule>
  </conditionalFormatting>
  <conditionalFormatting sqref="AW30">
    <cfRule type="iconSet" priority="1514">
      <iconSet iconSet="3Arrows">
        <cfvo type="percent" val="0"/>
        <cfvo type="formula" val="$AY$30"/>
        <cfvo type="formula" val="$AY$30" gte="0"/>
      </iconSet>
    </cfRule>
  </conditionalFormatting>
  <conditionalFormatting sqref="AW46">
    <cfRule type="iconSet" priority="1513">
      <iconSet iconSet="3Arrows">
        <cfvo type="percent" val="0"/>
        <cfvo type="formula" val="$AY$46"/>
        <cfvo type="formula" val="$AY$46" gte="0"/>
      </iconSet>
    </cfRule>
  </conditionalFormatting>
  <conditionalFormatting sqref="AW47">
    <cfRule type="iconSet" priority="1512">
      <iconSet iconSet="3Arrows">
        <cfvo type="percent" val="0"/>
        <cfvo type="formula" val="$AY$47"/>
        <cfvo type="formula" val="$AY$47" gte="0"/>
      </iconSet>
    </cfRule>
  </conditionalFormatting>
  <conditionalFormatting sqref="AW58:AW61">
    <cfRule type="iconSet" priority="1511">
      <iconSet iconSet="3Arrows">
        <cfvo type="percent" val="0"/>
        <cfvo type="formula" val="$AY$61"/>
        <cfvo type="formula" val="$AY$61" gte="0"/>
      </iconSet>
    </cfRule>
  </conditionalFormatting>
  <conditionalFormatting sqref="AW57">
    <cfRule type="iconSet" priority="1510">
      <iconSet iconSet="3Arrows">
        <cfvo type="percent" val="0"/>
        <cfvo type="formula" val="$AY$57"/>
        <cfvo type="formula" val="$AY$57" gte="0"/>
      </iconSet>
    </cfRule>
  </conditionalFormatting>
  <conditionalFormatting sqref="AW34">
    <cfRule type="iconSet" priority="1509">
      <iconSet iconSet="3Arrows">
        <cfvo type="percent" val="0"/>
        <cfvo type="formula" val="$AY$34"/>
        <cfvo type="formula" val="$AY$34" gte="0"/>
      </iconSet>
    </cfRule>
  </conditionalFormatting>
  <conditionalFormatting sqref="AW48">
    <cfRule type="iconSet" priority="1508">
      <iconSet iconSet="3Arrows">
        <cfvo type="percent" val="0"/>
        <cfvo type="formula" val="$AY$48"/>
        <cfvo type="formula" val="$AY$48" gte="0"/>
      </iconSet>
    </cfRule>
  </conditionalFormatting>
  <conditionalFormatting sqref="AW35">
    <cfRule type="iconSet" priority="1507">
      <iconSet iconSet="3Arrows">
        <cfvo type="percent" val="0"/>
        <cfvo type="formula" val="$AY$35"/>
        <cfvo type="formula" val="$AY$35" gte="0"/>
      </iconSet>
    </cfRule>
  </conditionalFormatting>
  <conditionalFormatting sqref="AW36">
    <cfRule type="iconSet" priority="1505">
      <iconSet iconSet="3Arrows">
        <cfvo type="percent" val="0"/>
        <cfvo type="formula" val="$AY$36"/>
        <cfvo type="formula" val="$AY$36" gte="0"/>
      </iconSet>
    </cfRule>
  </conditionalFormatting>
  <conditionalFormatting sqref="AW69">
    <cfRule type="iconSet" priority="1504">
      <iconSet iconSet="3Arrows">
        <cfvo type="percent" val="0"/>
        <cfvo type="formula" val="$AY$69"/>
        <cfvo type="formula" val="$AY$69" gte="0"/>
      </iconSet>
    </cfRule>
  </conditionalFormatting>
  <conditionalFormatting sqref="AW70">
    <cfRule type="iconSet" priority="1503">
      <iconSet iconSet="3Arrows">
        <cfvo type="percent" val="0"/>
        <cfvo type="formula" val="$AY$70"/>
        <cfvo type="formula" val="$AY$70" gte="0"/>
      </iconSet>
    </cfRule>
  </conditionalFormatting>
  <conditionalFormatting sqref="AW71">
    <cfRule type="iconSet" priority="1502">
      <iconSet iconSet="3Arrows">
        <cfvo type="percent" val="0"/>
        <cfvo type="formula" val="$AY$71"/>
        <cfvo type="formula" val="$AY$71" gte="0"/>
      </iconSet>
    </cfRule>
  </conditionalFormatting>
  <conditionalFormatting sqref="AW72">
    <cfRule type="iconSet" priority="1501">
      <iconSet iconSet="3Arrows">
        <cfvo type="percent" val="0"/>
        <cfvo type="formula" val="$AY$72"/>
        <cfvo type="formula" val="$AY$72" gte="0"/>
      </iconSet>
    </cfRule>
  </conditionalFormatting>
  <conditionalFormatting sqref="AW73">
    <cfRule type="iconSet" priority="1500">
      <iconSet iconSet="3Arrows">
        <cfvo type="percent" val="0"/>
        <cfvo type="formula" val="$AY$73"/>
        <cfvo type="formula" val="$AY$73" gte="0"/>
      </iconSet>
    </cfRule>
  </conditionalFormatting>
  <conditionalFormatting sqref="AZ6">
    <cfRule type="iconSet" priority="1499">
      <iconSet iconSet="3Arrows">
        <cfvo type="percent" val="0"/>
        <cfvo type="formula" val="$BB$6"/>
        <cfvo type="formula" val="$BB$6" gte="0"/>
      </iconSet>
    </cfRule>
  </conditionalFormatting>
  <conditionalFormatting sqref="AZ37">
    <cfRule type="iconSet" priority="1498">
      <iconSet iconSet="3Arrows">
        <cfvo type="percent" val="0"/>
        <cfvo type="formula" val="$BB$37"/>
        <cfvo type="formula" val="$BB$37" gte="0"/>
      </iconSet>
    </cfRule>
  </conditionalFormatting>
  <conditionalFormatting sqref="AZ20">
    <cfRule type="iconSet" priority="1497">
      <iconSet iconSet="3Arrows">
        <cfvo type="percent" val="0"/>
        <cfvo type="formula" val="$BB$20"/>
        <cfvo type="formula" val="$BB$20" gte="0"/>
      </iconSet>
    </cfRule>
  </conditionalFormatting>
  <conditionalFormatting sqref="AZ49:AZ50">
    <cfRule type="iconSet" priority="1496">
      <iconSet iconSet="3Arrows">
        <cfvo type="percent" val="0"/>
        <cfvo type="formula" val="$BB$49"/>
        <cfvo type="formula" val="$BB$49" gte="0"/>
      </iconSet>
    </cfRule>
  </conditionalFormatting>
  <conditionalFormatting sqref="AZ7">
    <cfRule type="iconSet" priority="1495">
      <iconSet iconSet="3Arrows">
        <cfvo type="percent" val="0"/>
        <cfvo type="formula" val="$BB$7"/>
        <cfvo type="formula" val="$BB$7" gte="0"/>
      </iconSet>
    </cfRule>
  </conditionalFormatting>
  <conditionalFormatting sqref="AZ21">
    <cfRule type="iconSet" priority="1494">
      <iconSet iconSet="3Arrows">
        <cfvo type="percent" val="0"/>
        <cfvo type="formula" val="$BB$21"/>
        <cfvo type="formula" val="$BB$21" gte="0"/>
      </iconSet>
    </cfRule>
  </conditionalFormatting>
  <conditionalFormatting sqref="AZ39">
    <cfRule type="iconSet" priority="1493">
      <iconSet iconSet="3Arrows">
        <cfvo type="percent" val="0"/>
        <cfvo type="formula" val="$BB$39"/>
        <cfvo type="formula" val="$BB$39" gte="0"/>
      </iconSet>
    </cfRule>
  </conditionalFormatting>
  <conditionalFormatting sqref="AZ51">
    <cfRule type="iconSet" priority="1492">
      <iconSet iconSet="3Arrows">
        <cfvo type="percent" val="0"/>
        <cfvo type="formula" val="$BB$51"/>
        <cfvo type="formula" val="$BB$51" gte="0"/>
      </iconSet>
    </cfRule>
  </conditionalFormatting>
  <conditionalFormatting sqref="AZ23">
    <cfRule type="iconSet" priority="1491">
      <iconSet iconSet="3Arrows">
        <cfvo type="percent" val="0"/>
        <cfvo type="formula" val="$BB$23"/>
        <cfvo type="formula" val="$BB$23" gte="0"/>
      </iconSet>
    </cfRule>
  </conditionalFormatting>
  <conditionalFormatting sqref="AZ52">
    <cfRule type="iconSet" priority="1490">
      <iconSet iconSet="3Arrows">
        <cfvo type="percent" val="0"/>
        <cfvo type="formula" val="$BB$52"/>
        <cfvo type="formula" val="$BB$52" gte="0"/>
      </iconSet>
    </cfRule>
  </conditionalFormatting>
  <conditionalFormatting sqref="AZ53">
    <cfRule type="iconSet" priority="1489">
      <iconSet iconSet="3Arrows">
        <cfvo type="percent" val="0"/>
        <cfvo type="formula" val="$BB$53"/>
        <cfvo type="formula" val="$BB$53" gte="0"/>
      </iconSet>
    </cfRule>
  </conditionalFormatting>
  <conditionalFormatting sqref="AZ9">
    <cfRule type="iconSet" priority="1488">
      <iconSet iconSet="3Arrows">
        <cfvo type="percent" val="0"/>
        <cfvo type="formula" val="$BB$9"/>
        <cfvo type="formula" val="$BB$9" gte="0"/>
      </iconSet>
    </cfRule>
  </conditionalFormatting>
  <conditionalFormatting sqref="AZ26">
    <cfRule type="iconSet" priority="1487">
      <iconSet iconSet="3Arrows">
        <cfvo type="percent" val="0"/>
        <cfvo type="formula" val="$BB$26"/>
        <cfvo type="formula" val="$BB$26" gte="0"/>
      </iconSet>
    </cfRule>
  </conditionalFormatting>
  <conditionalFormatting sqref="AZ12">
    <cfRule type="iconSet" priority="1485">
      <iconSet iconSet="3Arrows">
        <cfvo type="percent" val="0"/>
        <cfvo type="formula" val="$BB$12"/>
        <cfvo type="formula" val="$BB$12" gte="0"/>
      </iconSet>
    </cfRule>
  </conditionalFormatting>
  <conditionalFormatting sqref="AZ13">
    <cfRule type="iconSet" priority="1484">
      <iconSet iconSet="3Arrows">
        <cfvo type="percent" val="0"/>
        <cfvo type="formula" val="$BB$13"/>
        <cfvo type="formula" val="$BB$13" gte="0"/>
      </iconSet>
    </cfRule>
  </conditionalFormatting>
  <conditionalFormatting sqref="AZ44">
    <cfRule type="iconSet" priority="1483">
      <iconSet iconSet="3Arrows">
        <cfvo type="percent" val="0"/>
        <cfvo type="formula" val="$BB$44"/>
        <cfvo type="formula" val="$BB$44" gte="0"/>
      </iconSet>
    </cfRule>
  </conditionalFormatting>
  <conditionalFormatting sqref="AZ45">
    <cfRule type="iconSet" priority="1482">
      <iconSet iconSet="3Arrows">
        <cfvo type="percent" val="0"/>
        <cfvo type="formula" val="$BB$45"/>
        <cfvo type="formula" val="$BB$45" gte="0"/>
      </iconSet>
    </cfRule>
  </conditionalFormatting>
  <conditionalFormatting sqref="AZ54">
    <cfRule type="iconSet" priority="1481">
      <iconSet iconSet="3Arrows">
        <cfvo type="percent" val="0"/>
        <cfvo type="formula" val="$BB$54"/>
        <cfvo type="formula" val="$BB$54" gte="0"/>
      </iconSet>
    </cfRule>
  </conditionalFormatting>
  <conditionalFormatting sqref="AZ42">
    <cfRule type="iconSet" priority="1480">
      <iconSet iconSet="3Arrows">
        <cfvo type="percent" val="0"/>
        <cfvo type="formula" val="$BB$42"/>
        <cfvo type="formula" val="$BB$42" gte="0"/>
      </iconSet>
    </cfRule>
  </conditionalFormatting>
  <conditionalFormatting sqref="AZ17">
    <cfRule type="iconSet" priority="1479">
      <iconSet iconSet="3Arrows">
        <cfvo type="percent" val="0"/>
        <cfvo type="formula" val="$BB$17"/>
        <cfvo type="formula" val="$BB$17" gte="0"/>
      </iconSet>
    </cfRule>
  </conditionalFormatting>
  <conditionalFormatting sqref="AZ29">
    <cfRule type="iconSet" priority="1478">
      <iconSet iconSet="3Arrows">
        <cfvo type="percent" val="0"/>
        <cfvo type="formula" val="$BB$29"/>
        <cfvo type="formula" val="$BB$29" gte="0"/>
      </iconSet>
    </cfRule>
  </conditionalFormatting>
  <conditionalFormatting sqref="AZ55">
    <cfRule type="iconSet" priority="1477">
      <iconSet iconSet="3Arrows">
        <cfvo type="percent" val="0"/>
        <cfvo type="formula" val="$BB$55"/>
        <cfvo type="formula" val="$BB$55" gte="0"/>
      </iconSet>
    </cfRule>
  </conditionalFormatting>
  <conditionalFormatting sqref="AZ18">
    <cfRule type="iconSet" priority="1476">
      <iconSet iconSet="3Arrows">
        <cfvo type="percent" val="0"/>
        <cfvo type="formula" val="$BB$18"/>
        <cfvo type="formula" val="$BB$18" gte="0"/>
      </iconSet>
    </cfRule>
  </conditionalFormatting>
  <conditionalFormatting sqref="AZ30">
    <cfRule type="iconSet" priority="1475">
      <iconSet iconSet="3Arrows">
        <cfvo type="percent" val="0"/>
        <cfvo type="formula" val="$BB$30"/>
        <cfvo type="formula" val="$BB$30" gte="0"/>
      </iconSet>
    </cfRule>
  </conditionalFormatting>
  <conditionalFormatting sqref="AZ46">
    <cfRule type="iconSet" priority="1474">
      <iconSet iconSet="3Arrows">
        <cfvo type="percent" val="0"/>
        <cfvo type="formula" val="$BB$46"/>
        <cfvo type="formula" val="$BB$46" gte="0"/>
      </iconSet>
    </cfRule>
  </conditionalFormatting>
  <conditionalFormatting sqref="AZ47">
    <cfRule type="iconSet" priority="1473">
      <iconSet iconSet="3Arrows">
        <cfvo type="percent" val="0"/>
        <cfvo type="formula" val="$BB$47"/>
        <cfvo type="formula" val="$BB$47" gte="0"/>
      </iconSet>
    </cfRule>
  </conditionalFormatting>
  <conditionalFormatting sqref="AZ58:AZ61">
    <cfRule type="iconSet" priority="1472">
      <iconSet iconSet="3Arrows">
        <cfvo type="percent" val="0"/>
        <cfvo type="formula" val="$BB$61"/>
        <cfvo type="formula" val="$BB$61" gte="0"/>
      </iconSet>
    </cfRule>
  </conditionalFormatting>
  <conditionalFormatting sqref="AZ57">
    <cfRule type="iconSet" priority="1471">
      <iconSet iconSet="3Arrows">
        <cfvo type="percent" val="0"/>
        <cfvo type="formula" val="$BB$57"/>
        <cfvo type="formula" val="$BB$57" gte="0"/>
      </iconSet>
    </cfRule>
  </conditionalFormatting>
  <conditionalFormatting sqref="AZ34">
    <cfRule type="iconSet" priority="1470">
      <iconSet iconSet="3Arrows">
        <cfvo type="percent" val="0"/>
        <cfvo type="formula" val="$BB$34"/>
        <cfvo type="formula" val="$BB$34" gte="0"/>
      </iconSet>
    </cfRule>
  </conditionalFormatting>
  <conditionalFormatting sqref="AZ48">
    <cfRule type="iconSet" priority="1469">
      <iconSet iconSet="3Arrows">
        <cfvo type="percent" val="0"/>
        <cfvo type="formula" val="$BB$48"/>
        <cfvo type="formula" val="$BB$48" gte="0"/>
      </iconSet>
    </cfRule>
  </conditionalFormatting>
  <conditionalFormatting sqref="AZ35">
    <cfRule type="iconSet" priority="1468">
      <iconSet iconSet="3Arrows">
        <cfvo type="percent" val="0"/>
        <cfvo type="formula" val="$BB$35"/>
        <cfvo type="formula" val="$BB$35" gte="0"/>
      </iconSet>
    </cfRule>
  </conditionalFormatting>
  <conditionalFormatting sqref="AZ36">
    <cfRule type="iconSet" priority="1466">
      <iconSet iconSet="3Arrows">
        <cfvo type="percent" val="0"/>
        <cfvo type="formula" val="$BB$36"/>
        <cfvo type="formula" val="$BB$36" gte="0"/>
      </iconSet>
    </cfRule>
  </conditionalFormatting>
  <conditionalFormatting sqref="AZ69">
    <cfRule type="iconSet" priority="1465">
      <iconSet iconSet="3Arrows">
        <cfvo type="percent" val="0"/>
        <cfvo type="formula" val="$BB$69"/>
        <cfvo type="formula" val="$BB$69" gte="0"/>
      </iconSet>
    </cfRule>
  </conditionalFormatting>
  <conditionalFormatting sqref="AZ70">
    <cfRule type="iconSet" priority="1464">
      <iconSet iconSet="3Arrows">
        <cfvo type="percent" val="0"/>
        <cfvo type="formula" val="$BB$70"/>
        <cfvo type="formula" val="$BB$70" gte="0"/>
      </iconSet>
    </cfRule>
  </conditionalFormatting>
  <conditionalFormatting sqref="AZ71">
    <cfRule type="iconSet" priority="1463">
      <iconSet iconSet="3Arrows">
        <cfvo type="percent" val="0"/>
        <cfvo type="formula" val="$BB$71"/>
        <cfvo type="formula" val="$BB$71" gte="0"/>
      </iconSet>
    </cfRule>
  </conditionalFormatting>
  <conditionalFormatting sqref="AZ72">
    <cfRule type="iconSet" priority="1462">
      <iconSet iconSet="3Arrows">
        <cfvo type="percent" val="0"/>
        <cfvo type="formula" val="$BB$72"/>
        <cfvo type="formula" val="$BB$72" gte="0"/>
      </iconSet>
    </cfRule>
  </conditionalFormatting>
  <conditionalFormatting sqref="AZ73">
    <cfRule type="iconSet" priority="1461">
      <iconSet iconSet="3Arrows">
        <cfvo type="percent" val="0"/>
        <cfvo type="formula" val="$BB$73"/>
        <cfvo type="formula" val="$BB$73" gte="0"/>
      </iconSet>
    </cfRule>
  </conditionalFormatting>
  <conditionalFormatting sqref="BC6">
    <cfRule type="iconSet" priority="1460">
      <iconSet iconSet="3Arrows">
        <cfvo type="percent" val="0"/>
        <cfvo type="formula" val="$BE$6"/>
        <cfvo type="formula" val="$BE$6" gte="0"/>
      </iconSet>
    </cfRule>
  </conditionalFormatting>
  <conditionalFormatting sqref="BC37">
    <cfRule type="iconSet" priority="1459">
      <iconSet iconSet="3Arrows">
        <cfvo type="percent" val="0"/>
        <cfvo type="formula" val="$BE$37"/>
        <cfvo type="formula" val="$BE$37" gte="0"/>
      </iconSet>
    </cfRule>
  </conditionalFormatting>
  <conditionalFormatting sqref="BC20">
    <cfRule type="iconSet" priority="1458">
      <iconSet iconSet="3Arrows">
        <cfvo type="percent" val="0"/>
        <cfvo type="formula" val="$BE$20"/>
        <cfvo type="formula" val="$BE$20" gte="0"/>
      </iconSet>
    </cfRule>
  </conditionalFormatting>
  <conditionalFormatting sqref="BC49:BC50">
    <cfRule type="iconSet" priority="1457">
      <iconSet iconSet="3Arrows">
        <cfvo type="percent" val="0"/>
        <cfvo type="formula" val="$BE$49"/>
        <cfvo type="formula" val="$BE$49" gte="0"/>
      </iconSet>
    </cfRule>
  </conditionalFormatting>
  <conditionalFormatting sqref="BC7">
    <cfRule type="iconSet" priority="1456">
      <iconSet iconSet="3Arrows">
        <cfvo type="percent" val="0"/>
        <cfvo type="formula" val="$BE$7"/>
        <cfvo type="formula" val="$BE$7" gte="0"/>
      </iconSet>
    </cfRule>
  </conditionalFormatting>
  <conditionalFormatting sqref="BC21">
    <cfRule type="iconSet" priority="1455">
      <iconSet iconSet="3Arrows">
        <cfvo type="percent" val="0"/>
        <cfvo type="formula" val="$BE$21"/>
        <cfvo type="formula" val="$BE$21" gte="0"/>
      </iconSet>
    </cfRule>
  </conditionalFormatting>
  <conditionalFormatting sqref="BC39">
    <cfRule type="iconSet" priority="1454">
      <iconSet iconSet="3Arrows">
        <cfvo type="percent" val="0"/>
        <cfvo type="formula" val="$BE$39"/>
        <cfvo type="formula" val="$BE$39" gte="0"/>
      </iconSet>
    </cfRule>
  </conditionalFormatting>
  <conditionalFormatting sqref="BC51">
    <cfRule type="iconSet" priority="1453">
      <iconSet iconSet="3Arrows">
        <cfvo type="percent" val="0"/>
        <cfvo type="formula" val="$BE$51"/>
        <cfvo type="formula" val="$BE$51" gte="0"/>
      </iconSet>
    </cfRule>
  </conditionalFormatting>
  <conditionalFormatting sqref="BC23">
    <cfRule type="iconSet" priority="1452">
      <iconSet iconSet="3Arrows">
        <cfvo type="percent" val="0"/>
        <cfvo type="formula" val="$BE$23"/>
        <cfvo type="formula" val="$BE$23" gte="0"/>
      </iconSet>
    </cfRule>
  </conditionalFormatting>
  <conditionalFormatting sqref="BC52">
    <cfRule type="iconSet" priority="1451">
      <iconSet iconSet="3Arrows">
        <cfvo type="percent" val="0"/>
        <cfvo type="formula" val="$BE$52"/>
        <cfvo type="formula" val="$BE$52" gte="0"/>
      </iconSet>
    </cfRule>
  </conditionalFormatting>
  <conditionalFormatting sqref="BC53">
    <cfRule type="iconSet" priority="1450">
      <iconSet iconSet="3Arrows">
        <cfvo type="percent" val="0"/>
        <cfvo type="formula" val="$BE$53"/>
        <cfvo type="formula" val="$BE$53" gte="0"/>
      </iconSet>
    </cfRule>
  </conditionalFormatting>
  <conditionalFormatting sqref="BC9">
    <cfRule type="iconSet" priority="1449">
      <iconSet iconSet="3Arrows">
        <cfvo type="percent" val="0"/>
        <cfvo type="formula" val="$BE$9"/>
        <cfvo type="formula" val="$BE$9" gte="0"/>
      </iconSet>
    </cfRule>
  </conditionalFormatting>
  <conditionalFormatting sqref="BC26">
    <cfRule type="iconSet" priority="1448">
      <iconSet iconSet="3Arrows">
        <cfvo type="percent" val="0"/>
        <cfvo type="formula" val="$BE$26"/>
        <cfvo type="formula" val="$BE$26" gte="0"/>
      </iconSet>
    </cfRule>
  </conditionalFormatting>
  <conditionalFormatting sqref="BC12">
    <cfRule type="iconSet" priority="1446">
      <iconSet iconSet="3Arrows">
        <cfvo type="percent" val="0"/>
        <cfvo type="formula" val="$BE$12"/>
        <cfvo type="formula" val="$BE$12" gte="0"/>
      </iconSet>
    </cfRule>
  </conditionalFormatting>
  <conditionalFormatting sqref="BC13">
    <cfRule type="iconSet" priority="1445">
      <iconSet iconSet="3Arrows">
        <cfvo type="percent" val="0"/>
        <cfvo type="formula" val="$BE$13"/>
        <cfvo type="formula" val="$BE$13" gte="0"/>
      </iconSet>
    </cfRule>
  </conditionalFormatting>
  <conditionalFormatting sqref="BC44">
    <cfRule type="iconSet" priority="1444">
      <iconSet iconSet="3Arrows">
        <cfvo type="percent" val="0"/>
        <cfvo type="formula" val="$BE$44"/>
        <cfvo type="formula" val="$BE$44" gte="0"/>
      </iconSet>
    </cfRule>
  </conditionalFormatting>
  <conditionalFormatting sqref="BC45">
    <cfRule type="iconSet" priority="1443">
      <iconSet iconSet="3Arrows">
        <cfvo type="percent" val="0"/>
        <cfvo type="formula" val="$BE$45"/>
        <cfvo type="formula" val="$BE$45" gte="0"/>
      </iconSet>
    </cfRule>
  </conditionalFormatting>
  <conditionalFormatting sqref="BC54">
    <cfRule type="iconSet" priority="1442">
      <iconSet iconSet="3Arrows">
        <cfvo type="percent" val="0"/>
        <cfvo type="formula" val="$BE$54"/>
        <cfvo type="formula" val="$BE$54" gte="0"/>
      </iconSet>
    </cfRule>
  </conditionalFormatting>
  <conditionalFormatting sqref="BC42">
    <cfRule type="iconSet" priority="1441">
      <iconSet iconSet="3Arrows">
        <cfvo type="percent" val="0"/>
        <cfvo type="formula" val="$BE$42"/>
        <cfvo type="formula" val="$BE$42" gte="0"/>
      </iconSet>
    </cfRule>
  </conditionalFormatting>
  <conditionalFormatting sqref="BC17">
    <cfRule type="iconSet" priority="1440">
      <iconSet iconSet="3Arrows">
        <cfvo type="percent" val="0"/>
        <cfvo type="formula" val="$BE$17"/>
        <cfvo type="formula" val="$BE$17" gte="0"/>
      </iconSet>
    </cfRule>
  </conditionalFormatting>
  <conditionalFormatting sqref="BC29">
    <cfRule type="iconSet" priority="1439">
      <iconSet iconSet="3Arrows">
        <cfvo type="percent" val="0"/>
        <cfvo type="formula" val="$BE$29"/>
        <cfvo type="formula" val="$BE$29" gte="0"/>
      </iconSet>
    </cfRule>
  </conditionalFormatting>
  <conditionalFormatting sqref="BC55">
    <cfRule type="iconSet" priority="1438">
      <iconSet iconSet="3Arrows">
        <cfvo type="percent" val="0"/>
        <cfvo type="formula" val="$BE$55"/>
        <cfvo type="formula" val="$BE$55" gte="0"/>
      </iconSet>
    </cfRule>
  </conditionalFormatting>
  <conditionalFormatting sqref="BC18">
    <cfRule type="iconSet" priority="1437">
      <iconSet iconSet="3Arrows">
        <cfvo type="percent" val="0"/>
        <cfvo type="formula" val="$BE$18"/>
        <cfvo type="formula" val="$BE$18" gte="0"/>
      </iconSet>
    </cfRule>
  </conditionalFormatting>
  <conditionalFormatting sqref="BC30">
    <cfRule type="iconSet" priority="1436">
      <iconSet iconSet="3Arrows">
        <cfvo type="percent" val="0"/>
        <cfvo type="formula" val="$BE$30"/>
        <cfvo type="formula" val="$BE$30" gte="0"/>
      </iconSet>
    </cfRule>
  </conditionalFormatting>
  <conditionalFormatting sqref="BC46">
    <cfRule type="iconSet" priority="1435">
      <iconSet iconSet="3Arrows">
        <cfvo type="percent" val="0"/>
        <cfvo type="formula" val="$BE$46"/>
        <cfvo type="formula" val="$BE$46" gte="0"/>
      </iconSet>
    </cfRule>
  </conditionalFormatting>
  <conditionalFormatting sqref="BC47">
    <cfRule type="iconSet" priority="1434">
      <iconSet iconSet="3Arrows">
        <cfvo type="percent" val="0"/>
        <cfvo type="formula" val="$BE$47"/>
        <cfvo type="formula" val="$BE$47" gte="0"/>
      </iconSet>
    </cfRule>
  </conditionalFormatting>
  <conditionalFormatting sqref="BC58:BC61">
    <cfRule type="iconSet" priority="1433">
      <iconSet iconSet="3Arrows">
        <cfvo type="percent" val="0"/>
        <cfvo type="formula" val="$BE$61"/>
        <cfvo type="formula" val="$BE$61" gte="0"/>
      </iconSet>
    </cfRule>
  </conditionalFormatting>
  <conditionalFormatting sqref="BC57">
    <cfRule type="iconSet" priority="1432">
      <iconSet iconSet="3Arrows">
        <cfvo type="percent" val="0"/>
        <cfvo type="formula" val="$BE$57"/>
        <cfvo type="formula" val="$BE$57" gte="0"/>
      </iconSet>
    </cfRule>
  </conditionalFormatting>
  <conditionalFormatting sqref="BC34">
    <cfRule type="iconSet" priority="1431">
      <iconSet iconSet="3Arrows">
        <cfvo type="percent" val="0"/>
        <cfvo type="formula" val="$BE$34"/>
        <cfvo type="formula" val="$BE$34" gte="0"/>
      </iconSet>
    </cfRule>
  </conditionalFormatting>
  <conditionalFormatting sqref="BC48">
    <cfRule type="iconSet" priority="1430">
      <iconSet iconSet="3Arrows">
        <cfvo type="percent" val="0"/>
        <cfvo type="formula" val="$BE$48"/>
        <cfvo type="formula" val="$BE$48" gte="0"/>
      </iconSet>
    </cfRule>
  </conditionalFormatting>
  <conditionalFormatting sqref="BC35">
    <cfRule type="iconSet" priority="1429">
      <iconSet iconSet="3Arrows">
        <cfvo type="percent" val="0"/>
        <cfvo type="formula" val="$BE$35"/>
        <cfvo type="formula" val="$BE$35" gte="0"/>
      </iconSet>
    </cfRule>
  </conditionalFormatting>
  <conditionalFormatting sqref="BC36">
    <cfRule type="iconSet" priority="1427">
      <iconSet iconSet="3Arrows">
        <cfvo type="percent" val="0"/>
        <cfvo type="formula" val="$BE$36"/>
        <cfvo type="formula" val="$BE$36" gte="0"/>
      </iconSet>
    </cfRule>
  </conditionalFormatting>
  <conditionalFormatting sqref="BC69">
    <cfRule type="iconSet" priority="1426">
      <iconSet iconSet="3Arrows">
        <cfvo type="percent" val="0"/>
        <cfvo type="formula" val="$BE$69"/>
        <cfvo type="formula" val="$BE$69" gte="0"/>
      </iconSet>
    </cfRule>
  </conditionalFormatting>
  <conditionalFormatting sqref="BC70">
    <cfRule type="iconSet" priority="1425">
      <iconSet iconSet="3Arrows">
        <cfvo type="percent" val="0"/>
        <cfvo type="formula" val="$BE$70"/>
        <cfvo type="formula" val="$BE$70" gte="0"/>
      </iconSet>
    </cfRule>
  </conditionalFormatting>
  <conditionalFormatting sqref="BC71">
    <cfRule type="iconSet" priority="1424">
      <iconSet iconSet="3Arrows">
        <cfvo type="percent" val="0"/>
        <cfvo type="formula" val="$BE$71"/>
        <cfvo type="formula" val="$BE$71" gte="0"/>
      </iconSet>
    </cfRule>
  </conditionalFormatting>
  <conditionalFormatting sqref="BC72">
    <cfRule type="iconSet" priority="1423">
      <iconSet iconSet="3Arrows">
        <cfvo type="percent" val="0"/>
        <cfvo type="formula" val="$BE$72"/>
        <cfvo type="formula" val="$BE$72" gte="0"/>
      </iconSet>
    </cfRule>
  </conditionalFormatting>
  <conditionalFormatting sqref="BC73">
    <cfRule type="iconSet" priority="1422">
      <iconSet iconSet="3Arrows">
        <cfvo type="percent" val="0"/>
        <cfvo type="formula" val="$BE$73"/>
        <cfvo type="formula" val="$BE$73" gte="0"/>
      </iconSet>
    </cfRule>
  </conditionalFormatting>
  <conditionalFormatting sqref="BF6">
    <cfRule type="iconSet" priority="1421">
      <iconSet iconSet="3Arrows">
        <cfvo type="percent" val="0"/>
        <cfvo type="formula" val="$BH$6"/>
        <cfvo type="formula" val="$BH$6" gte="0"/>
      </iconSet>
    </cfRule>
  </conditionalFormatting>
  <conditionalFormatting sqref="BF37">
    <cfRule type="iconSet" priority="1420">
      <iconSet iconSet="3Arrows">
        <cfvo type="percent" val="0"/>
        <cfvo type="formula" val="$BH$37"/>
        <cfvo type="formula" val="$BH$37" gte="0"/>
      </iconSet>
    </cfRule>
  </conditionalFormatting>
  <conditionalFormatting sqref="BF20">
    <cfRule type="iconSet" priority="1419">
      <iconSet iconSet="3Arrows">
        <cfvo type="percent" val="0"/>
        <cfvo type="formula" val="$BH$20"/>
        <cfvo type="formula" val="$BH$20" gte="0"/>
      </iconSet>
    </cfRule>
  </conditionalFormatting>
  <conditionalFormatting sqref="BF49:BF50">
    <cfRule type="iconSet" priority="1418">
      <iconSet iconSet="3Arrows">
        <cfvo type="percent" val="0"/>
        <cfvo type="formula" val="$BH$49"/>
        <cfvo type="formula" val="$BH$49" gte="0"/>
      </iconSet>
    </cfRule>
  </conditionalFormatting>
  <conditionalFormatting sqref="BF7">
    <cfRule type="iconSet" priority="1417">
      <iconSet iconSet="3Arrows">
        <cfvo type="percent" val="0"/>
        <cfvo type="formula" val="$BH$7"/>
        <cfvo type="formula" val="$BH$7" gte="0"/>
      </iconSet>
    </cfRule>
  </conditionalFormatting>
  <conditionalFormatting sqref="BF21">
    <cfRule type="iconSet" priority="1416">
      <iconSet iconSet="3Arrows">
        <cfvo type="percent" val="0"/>
        <cfvo type="formula" val="$BH$21"/>
        <cfvo type="formula" val="$BH$21" gte="0"/>
      </iconSet>
    </cfRule>
  </conditionalFormatting>
  <conditionalFormatting sqref="BF51">
    <cfRule type="iconSet" priority="1414">
      <iconSet iconSet="3Arrows">
        <cfvo type="percent" val="0"/>
        <cfvo type="formula" val="$BH$51"/>
        <cfvo type="formula" val="$BH$51" gte="0"/>
      </iconSet>
    </cfRule>
  </conditionalFormatting>
  <conditionalFormatting sqref="BF23">
    <cfRule type="iconSet" priority="1413">
      <iconSet iconSet="3Arrows">
        <cfvo type="percent" val="0"/>
        <cfvo type="formula" val="$BH$23"/>
        <cfvo type="formula" val="$BH$23" gte="0"/>
      </iconSet>
    </cfRule>
  </conditionalFormatting>
  <conditionalFormatting sqref="BF52">
    <cfRule type="iconSet" priority="1412">
      <iconSet iconSet="3Arrows">
        <cfvo type="percent" val="0"/>
        <cfvo type="formula" val="$BH$52"/>
        <cfvo type="formula" val="$BH$52" gte="0"/>
      </iconSet>
    </cfRule>
  </conditionalFormatting>
  <conditionalFormatting sqref="BF53">
    <cfRule type="iconSet" priority="1411">
      <iconSet iconSet="3Arrows">
        <cfvo type="percent" val="0"/>
        <cfvo type="formula" val="$BH$53"/>
        <cfvo type="formula" val="$BH$53" gte="0"/>
      </iconSet>
    </cfRule>
  </conditionalFormatting>
  <conditionalFormatting sqref="BF9">
    <cfRule type="iconSet" priority="1410">
      <iconSet iconSet="3Arrows">
        <cfvo type="percent" val="0"/>
        <cfvo type="formula" val="$BH$9"/>
        <cfvo type="formula" val="$BH$9" gte="0"/>
      </iconSet>
    </cfRule>
  </conditionalFormatting>
  <conditionalFormatting sqref="BF26">
    <cfRule type="iconSet" priority="1409">
      <iconSet iconSet="3Arrows">
        <cfvo type="percent" val="0"/>
        <cfvo type="formula" val="$BH$26"/>
        <cfvo type="formula" val="$BH$26" gte="0"/>
      </iconSet>
    </cfRule>
  </conditionalFormatting>
  <conditionalFormatting sqref="BF12">
    <cfRule type="iconSet" priority="1407">
      <iconSet iconSet="3Arrows">
        <cfvo type="percent" val="0"/>
        <cfvo type="formula" val="$BH$12"/>
        <cfvo type="formula" val="$BH$12" gte="0"/>
      </iconSet>
    </cfRule>
  </conditionalFormatting>
  <conditionalFormatting sqref="BF13">
    <cfRule type="iconSet" priority="1406">
      <iconSet iconSet="3Arrows">
        <cfvo type="percent" val="0"/>
        <cfvo type="formula" val="$BH$13"/>
        <cfvo type="formula" val="$BH$13" gte="0"/>
      </iconSet>
    </cfRule>
  </conditionalFormatting>
  <conditionalFormatting sqref="BF44">
    <cfRule type="iconSet" priority="1405">
      <iconSet iconSet="3Arrows">
        <cfvo type="percent" val="0"/>
        <cfvo type="formula" val="$BH$44"/>
        <cfvo type="formula" val="$BH$44" gte="0"/>
      </iconSet>
    </cfRule>
  </conditionalFormatting>
  <conditionalFormatting sqref="BF45">
    <cfRule type="iconSet" priority="1404">
      <iconSet iconSet="3Arrows">
        <cfvo type="percent" val="0"/>
        <cfvo type="formula" val="$BH$45"/>
        <cfvo type="formula" val="$BH$45" gte="0"/>
      </iconSet>
    </cfRule>
  </conditionalFormatting>
  <conditionalFormatting sqref="BF54">
    <cfRule type="iconSet" priority="1403">
      <iconSet iconSet="3Arrows">
        <cfvo type="percent" val="0"/>
        <cfvo type="formula" val="$BH$54"/>
        <cfvo type="formula" val="$BH$54" gte="0"/>
      </iconSet>
    </cfRule>
  </conditionalFormatting>
  <conditionalFormatting sqref="BF42">
    <cfRule type="iconSet" priority="1402">
      <iconSet iconSet="3Arrows">
        <cfvo type="percent" val="0"/>
        <cfvo type="formula" val="$BH$42"/>
        <cfvo type="formula" val="$BH$42" gte="0"/>
      </iconSet>
    </cfRule>
  </conditionalFormatting>
  <conditionalFormatting sqref="BF17">
    <cfRule type="iconSet" priority="1401">
      <iconSet iconSet="3Arrows">
        <cfvo type="percent" val="0"/>
        <cfvo type="formula" val="$BH$17"/>
        <cfvo type="formula" val="$BH$17" gte="0"/>
      </iconSet>
    </cfRule>
  </conditionalFormatting>
  <conditionalFormatting sqref="BF29">
    <cfRule type="iconSet" priority="1400">
      <iconSet iconSet="3Arrows">
        <cfvo type="percent" val="0"/>
        <cfvo type="formula" val="$BH$29"/>
        <cfvo type="formula" val="$BH$29" gte="0"/>
      </iconSet>
    </cfRule>
  </conditionalFormatting>
  <conditionalFormatting sqref="BF55">
    <cfRule type="iconSet" priority="1399">
      <iconSet iconSet="3Arrows">
        <cfvo type="percent" val="0"/>
        <cfvo type="formula" val="$BH$55"/>
        <cfvo type="formula" val="$BH$55" gte="0"/>
      </iconSet>
    </cfRule>
  </conditionalFormatting>
  <conditionalFormatting sqref="BF18">
    <cfRule type="iconSet" priority="1398">
      <iconSet iconSet="3Arrows">
        <cfvo type="percent" val="0"/>
        <cfvo type="formula" val="$BH$18"/>
        <cfvo type="formula" val="$BH$18" gte="0"/>
      </iconSet>
    </cfRule>
  </conditionalFormatting>
  <conditionalFormatting sqref="BF30">
    <cfRule type="iconSet" priority="1397">
      <iconSet iconSet="3Arrows">
        <cfvo type="percent" val="0"/>
        <cfvo type="formula" val="$BH$30"/>
        <cfvo type="formula" val="$BH$30" gte="0"/>
      </iconSet>
    </cfRule>
  </conditionalFormatting>
  <conditionalFormatting sqref="BF46">
    <cfRule type="iconSet" priority="1396">
      <iconSet iconSet="3Arrows">
        <cfvo type="percent" val="0"/>
        <cfvo type="formula" val="$BH$46"/>
        <cfvo type="formula" val="$BH$46" gte="0"/>
      </iconSet>
    </cfRule>
  </conditionalFormatting>
  <conditionalFormatting sqref="BF47">
    <cfRule type="iconSet" priority="1395">
      <iconSet iconSet="3Arrows">
        <cfvo type="percent" val="0"/>
        <cfvo type="formula" val="$BH$47"/>
        <cfvo type="formula" val="$BH$47" gte="0"/>
      </iconSet>
    </cfRule>
  </conditionalFormatting>
  <conditionalFormatting sqref="BF58:BF61">
    <cfRule type="iconSet" priority="1394">
      <iconSet iconSet="3Arrows">
        <cfvo type="percent" val="0"/>
        <cfvo type="formula" val="$BH$61"/>
        <cfvo type="formula" val="$BH$61" gte="0"/>
      </iconSet>
    </cfRule>
  </conditionalFormatting>
  <conditionalFormatting sqref="BF57">
    <cfRule type="iconSet" priority="1393">
      <iconSet iconSet="3Arrows">
        <cfvo type="percent" val="0"/>
        <cfvo type="formula" val="$BH$57"/>
        <cfvo type="formula" val="$BH$57" gte="0"/>
      </iconSet>
    </cfRule>
  </conditionalFormatting>
  <conditionalFormatting sqref="BF34">
    <cfRule type="iconSet" priority="1392">
      <iconSet iconSet="3Arrows">
        <cfvo type="percent" val="0"/>
        <cfvo type="formula" val="$BH$34"/>
        <cfvo type="formula" val="$BH$34" gte="0"/>
      </iconSet>
    </cfRule>
  </conditionalFormatting>
  <conditionalFormatting sqref="BF48">
    <cfRule type="iconSet" priority="1391">
      <iconSet iconSet="3Arrows">
        <cfvo type="percent" val="0"/>
        <cfvo type="formula" val="$BH$48"/>
        <cfvo type="formula" val="$BH$48" gte="0"/>
      </iconSet>
    </cfRule>
  </conditionalFormatting>
  <conditionalFormatting sqref="BF35">
    <cfRule type="iconSet" priority="1390">
      <iconSet iconSet="3Arrows">
        <cfvo type="percent" val="0"/>
        <cfvo type="formula" val="$BH$35"/>
        <cfvo type="formula" val="$BH$35" gte="0"/>
      </iconSet>
    </cfRule>
  </conditionalFormatting>
  <conditionalFormatting sqref="BF36">
    <cfRule type="iconSet" priority="1388">
      <iconSet iconSet="3Arrows">
        <cfvo type="percent" val="0"/>
        <cfvo type="formula" val="$BH$36"/>
        <cfvo type="formula" val="$BH$36" gte="0"/>
      </iconSet>
    </cfRule>
  </conditionalFormatting>
  <conditionalFormatting sqref="BF69">
    <cfRule type="iconSet" priority="1387">
      <iconSet iconSet="3Arrows">
        <cfvo type="percent" val="0"/>
        <cfvo type="formula" val="$BH$69"/>
        <cfvo type="formula" val="$BH$69" gte="0"/>
      </iconSet>
    </cfRule>
  </conditionalFormatting>
  <conditionalFormatting sqref="BF70">
    <cfRule type="iconSet" priority="1386">
      <iconSet iconSet="3Arrows">
        <cfvo type="percent" val="0"/>
        <cfvo type="formula" val="$BH$70"/>
        <cfvo type="formula" val="$BH$70" gte="0"/>
      </iconSet>
    </cfRule>
  </conditionalFormatting>
  <conditionalFormatting sqref="BF71">
    <cfRule type="iconSet" priority="1385">
      <iconSet iconSet="3Arrows">
        <cfvo type="percent" val="0"/>
        <cfvo type="formula" val="$BH$71"/>
        <cfvo type="formula" val="$BH$71" gte="0"/>
      </iconSet>
    </cfRule>
  </conditionalFormatting>
  <conditionalFormatting sqref="BF72">
    <cfRule type="iconSet" priority="1384">
      <iconSet iconSet="3Arrows">
        <cfvo type="percent" val="0"/>
        <cfvo type="formula" val="$BH$72"/>
        <cfvo type="formula" val="$BH$72" gte="0"/>
      </iconSet>
    </cfRule>
  </conditionalFormatting>
  <conditionalFormatting sqref="BF73">
    <cfRule type="iconSet" priority="1383">
      <iconSet iconSet="3Arrows">
        <cfvo type="percent" val="0"/>
        <cfvo type="formula" val="$BH$73"/>
        <cfvo type="formula" val="$BH$73" gte="0"/>
      </iconSet>
    </cfRule>
  </conditionalFormatting>
  <conditionalFormatting sqref="BI6">
    <cfRule type="iconSet" priority="1382">
      <iconSet iconSet="3Arrows">
        <cfvo type="percent" val="0"/>
        <cfvo type="formula" val="$BK$6"/>
        <cfvo type="formula" val="$BK$6" gte="0"/>
      </iconSet>
    </cfRule>
  </conditionalFormatting>
  <conditionalFormatting sqref="BI37">
    <cfRule type="iconSet" priority="1381">
      <iconSet iconSet="3Arrows">
        <cfvo type="percent" val="0"/>
        <cfvo type="formula" val="$BK$37"/>
        <cfvo type="formula" val="$BK$37" gte="0"/>
      </iconSet>
    </cfRule>
  </conditionalFormatting>
  <conditionalFormatting sqref="BI20">
    <cfRule type="iconSet" priority="1380">
      <iconSet iconSet="3Arrows">
        <cfvo type="percent" val="0"/>
        <cfvo type="formula" val="$BK$20"/>
        <cfvo type="formula" val="$BK$20" gte="0"/>
      </iconSet>
    </cfRule>
  </conditionalFormatting>
  <conditionalFormatting sqref="BI49:BI50">
    <cfRule type="iconSet" priority="1379">
      <iconSet iconSet="3Arrows">
        <cfvo type="percent" val="0"/>
        <cfvo type="formula" val="$BK$49"/>
        <cfvo type="formula" val="$BK$49" gte="0"/>
      </iconSet>
    </cfRule>
  </conditionalFormatting>
  <conditionalFormatting sqref="BI7">
    <cfRule type="iconSet" priority="1378">
      <iconSet iconSet="3Arrows">
        <cfvo type="percent" val="0"/>
        <cfvo type="formula" val="$BK$7"/>
        <cfvo type="formula" val="$BK$7" gte="0"/>
      </iconSet>
    </cfRule>
  </conditionalFormatting>
  <conditionalFormatting sqref="BI21">
    <cfRule type="iconSet" priority="1377">
      <iconSet iconSet="3Arrows">
        <cfvo type="percent" val="0"/>
        <cfvo type="formula" val="$BK$21"/>
        <cfvo type="formula" val="$BK$21" gte="0"/>
      </iconSet>
    </cfRule>
  </conditionalFormatting>
  <conditionalFormatting sqref="BI51">
    <cfRule type="iconSet" priority="1375">
      <iconSet iconSet="3Arrows">
        <cfvo type="percent" val="0"/>
        <cfvo type="formula" val="$BK$51"/>
        <cfvo type="formula" val="$BK$51" gte="0"/>
      </iconSet>
    </cfRule>
  </conditionalFormatting>
  <conditionalFormatting sqref="BI23">
    <cfRule type="iconSet" priority="1374">
      <iconSet iconSet="3Arrows">
        <cfvo type="percent" val="0"/>
        <cfvo type="formula" val="$BK$23"/>
        <cfvo type="formula" val="$BK$23" gte="0"/>
      </iconSet>
    </cfRule>
  </conditionalFormatting>
  <conditionalFormatting sqref="BI52">
    <cfRule type="iconSet" priority="1373">
      <iconSet iconSet="3Arrows">
        <cfvo type="percent" val="0"/>
        <cfvo type="formula" val="$BK$52"/>
        <cfvo type="formula" val="$BK$52" gte="0"/>
      </iconSet>
    </cfRule>
  </conditionalFormatting>
  <conditionalFormatting sqref="BI53">
    <cfRule type="iconSet" priority="1372">
      <iconSet iconSet="3Arrows">
        <cfvo type="percent" val="0"/>
        <cfvo type="formula" val="$BK$53"/>
        <cfvo type="formula" val="$BK$53" gte="0"/>
      </iconSet>
    </cfRule>
  </conditionalFormatting>
  <conditionalFormatting sqref="BI9">
    <cfRule type="iconSet" priority="1371">
      <iconSet iconSet="3Arrows">
        <cfvo type="percent" val="0"/>
        <cfvo type="formula" val="$BK$9"/>
        <cfvo type="formula" val="$BK$9" gte="0"/>
      </iconSet>
    </cfRule>
  </conditionalFormatting>
  <conditionalFormatting sqref="BI26">
    <cfRule type="iconSet" priority="1370">
      <iconSet iconSet="3Arrows">
        <cfvo type="percent" val="0"/>
        <cfvo type="formula" val="$BK$26"/>
        <cfvo type="formula" val="$BK$26" gte="0"/>
      </iconSet>
    </cfRule>
  </conditionalFormatting>
  <conditionalFormatting sqref="BI12">
    <cfRule type="iconSet" priority="1368">
      <iconSet iconSet="3Arrows">
        <cfvo type="percent" val="0"/>
        <cfvo type="formula" val="$BK$12"/>
        <cfvo type="formula" val="$BK$12" gte="0"/>
      </iconSet>
    </cfRule>
  </conditionalFormatting>
  <conditionalFormatting sqref="BI13">
    <cfRule type="iconSet" priority="1367">
      <iconSet iconSet="3Arrows">
        <cfvo type="percent" val="0"/>
        <cfvo type="formula" val="$BK$13"/>
        <cfvo type="formula" val="$BK$13" gte="0"/>
      </iconSet>
    </cfRule>
  </conditionalFormatting>
  <conditionalFormatting sqref="BI44">
    <cfRule type="iconSet" priority="1366">
      <iconSet iconSet="3Arrows">
        <cfvo type="percent" val="0"/>
        <cfvo type="formula" val="$BK$44"/>
        <cfvo type="formula" val="$BK$44" gte="0"/>
      </iconSet>
    </cfRule>
  </conditionalFormatting>
  <conditionalFormatting sqref="BI45">
    <cfRule type="iconSet" priority="1365">
      <iconSet iconSet="3Arrows">
        <cfvo type="percent" val="0"/>
        <cfvo type="formula" val="$BK$45"/>
        <cfvo type="formula" val="$BK$45" gte="0"/>
      </iconSet>
    </cfRule>
  </conditionalFormatting>
  <conditionalFormatting sqref="BI54">
    <cfRule type="iconSet" priority="1364">
      <iconSet iconSet="3Arrows">
        <cfvo type="percent" val="0"/>
        <cfvo type="formula" val="$BK$54"/>
        <cfvo type="formula" val="$BK$54" gte="0"/>
      </iconSet>
    </cfRule>
  </conditionalFormatting>
  <conditionalFormatting sqref="BI42">
    <cfRule type="iconSet" priority="1363">
      <iconSet iconSet="3Arrows">
        <cfvo type="percent" val="0"/>
        <cfvo type="formula" val="$BK$42"/>
        <cfvo type="formula" val="$BK$42" gte="0"/>
      </iconSet>
    </cfRule>
  </conditionalFormatting>
  <conditionalFormatting sqref="BI17">
    <cfRule type="iconSet" priority="1362">
      <iconSet iconSet="3Arrows">
        <cfvo type="percent" val="0"/>
        <cfvo type="formula" val="$BK$17"/>
        <cfvo type="formula" val="$BK$17" gte="0"/>
      </iconSet>
    </cfRule>
  </conditionalFormatting>
  <conditionalFormatting sqref="BI29">
    <cfRule type="iconSet" priority="1361">
      <iconSet iconSet="3Arrows">
        <cfvo type="percent" val="0"/>
        <cfvo type="formula" val="$BK$29"/>
        <cfvo type="formula" val="$BK$29" gte="0"/>
      </iconSet>
    </cfRule>
  </conditionalFormatting>
  <conditionalFormatting sqref="BI55">
    <cfRule type="iconSet" priority="1360">
      <iconSet iconSet="3Arrows">
        <cfvo type="percent" val="0"/>
        <cfvo type="formula" val="$BK$55"/>
        <cfvo type="formula" val="$BK$55" gte="0"/>
      </iconSet>
    </cfRule>
  </conditionalFormatting>
  <conditionalFormatting sqref="BI18">
    <cfRule type="iconSet" priority="1359">
      <iconSet iconSet="3Arrows">
        <cfvo type="percent" val="0"/>
        <cfvo type="formula" val="$BK$18"/>
        <cfvo type="formula" val="$BK$18" gte="0"/>
      </iconSet>
    </cfRule>
  </conditionalFormatting>
  <conditionalFormatting sqref="BI30">
    <cfRule type="iconSet" priority="1358">
      <iconSet iconSet="3Arrows">
        <cfvo type="percent" val="0"/>
        <cfvo type="formula" val="$BK$30"/>
        <cfvo type="formula" val="$BK$30" gte="0"/>
      </iconSet>
    </cfRule>
  </conditionalFormatting>
  <conditionalFormatting sqref="BI46">
    <cfRule type="iconSet" priority="1357">
      <iconSet iconSet="3Arrows">
        <cfvo type="percent" val="0"/>
        <cfvo type="formula" val="$BK$46"/>
        <cfvo type="formula" val="$BK$46" gte="0"/>
      </iconSet>
    </cfRule>
  </conditionalFormatting>
  <conditionalFormatting sqref="BI47">
    <cfRule type="iconSet" priority="1356">
      <iconSet iconSet="3Arrows">
        <cfvo type="percent" val="0"/>
        <cfvo type="formula" val="$BK$47"/>
        <cfvo type="formula" val="$BK$47" gte="0"/>
      </iconSet>
    </cfRule>
  </conditionalFormatting>
  <conditionalFormatting sqref="BI58:BI61">
    <cfRule type="iconSet" priority="1355">
      <iconSet iconSet="3Arrows">
        <cfvo type="percent" val="0"/>
        <cfvo type="formula" val="$BK$61"/>
        <cfvo type="formula" val="$BK$61" gte="0"/>
      </iconSet>
    </cfRule>
  </conditionalFormatting>
  <conditionalFormatting sqref="BI57">
    <cfRule type="iconSet" priority="1354">
      <iconSet iconSet="3Arrows">
        <cfvo type="percent" val="0"/>
        <cfvo type="formula" val="$BK$57"/>
        <cfvo type="formula" val="$BK$57" gte="0"/>
      </iconSet>
    </cfRule>
  </conditionalFormatting>
  <conditionalFormatting sqref="BI34">
    <cfRule type="iconSet" priority="1353">
      <iconSet iconSet="3Arrows">
        <cfvo type="percent" val="0"/>
        <cfvo type="formula" val="$BK$34"/>
        <cfvo type="formula" val="$BK$34" gte="0"/>
      </iconSet>
    </cfRule>
  </conditionalFormatting>
  <conditionalFormatting sqref="BI48">
    <cfRule type="iconSet" priority="1352">
      <iconSet iconSet="3Arrows">
        <cfvo type="percent" val="0"/>
        <cfvo type="formula" val="$BK$48"/>
        <cfvo type="formula" val="$BK$48" gte="0"/>
      </iconSet>
    </cfRule>
  </conditionalFormatting>
  <conditionalFormatting sqref="BI35">
    <cfRule type="iconSet" priority="1351">
      <iconSet iconSet="3Arrows">
        <cfvo type="percent" val="0"/>
        <cfvo type="formula" val="$BK$35"/>
        <cfvo type="formula" val="$BK$35" gte="0"/>
      </iconSet>
    </cfRule>
  </conditionalFormatting>
  <conditionalFormatting sqref="BI36">
    <cfRule type="iconSet" priority="1349">
      <iconSet iconSet="3Arrows">
        <cfvo type="percent" val="0"/>
        <cfvo type="formula" val="$BK$36"/>
        <cfvo type="formula" val="$BK$36" gte="0"/>
      </iconSet>
    </cfRule>
  </conditionalFormatting>
  <conditionalFormatting sqref="BI69">
    <cfRule type="iconSet" priority="1348">
      <iconSet iconSet="3Arrows">
        <cfvo type="percent" val="0"/>
        <cfvo type="formula" val="$BK$69"/>
        <cfvo type="formula" val="$BK$69" gte="0"/>
      </iconSet>
    </cfRule>
  </conditionalFormatting>
  <conditionalFormatting sqref="BI70">
    <cfRule type="iconSet" priority="1347">
      <iconSet iconSet="3Arrows">
        <cfvo type="percent" val="0"/>
        <cfvo type="formula" val="$BK$70"/>
        <cfvo type="formula" val="$BK$70" gte="0"/>
      </iconSet>
    </cfRule>
  </conditionalFormatting>
  <conditionalFormatting sqref="BI71">
    <cfRule type="iconSet" priority="1346">
      <iconSet iconSet="3Arrows">
        <cfvo type="percent" val="0"/>
        <cfvo type="formula" val="$BK$71"/>
        <cfvo type="formula" val="$BK$71" gte="0"/>
      </iconSet>
    </cfRule>
  </conditionalFormatting>
  <conditionalFormatting sqref="BI72">
    <cfRule type="iconSet" priority="1345">
      <iconSet iconSet="3Arrows">
        <cfvo type="percent" val="0"/>
        <cfvo type="formula" val="$BK$72"/>
        <cfvo type="formula" val="$BK$72" gte="0"/>
      </iconSet>
    </cfRule>
  </conditionalFormatting>
  <conditionalFormatting sqref="BI73">
    <cfRule type="iconSet" priority="1344">
      <iconSet iconSet="3Arrows">
        <cfvo type="percent" val="0"/>
        <cfvo type="formula" val="$BK$73"/>
        <cfvo type="formula" val="$BK$73" gte="0"/>
      </iconSet>
    </cfRule>
  </conditionalFormatting>
  <conditionalFormatting sqref="Q6">
    <cfRule type="iconSet" priority="1343">
      <iconSet reverse="1">
        <cfvo type="percent" val="0"/>
        <cfvo type="formula" val="$R$6"/>
        <cfvo type="formula" val="$R$6" gte="0"/>
      </iconSet>
    </cfRule>
  </conditionalFormatting>
  <conditionalFormatting sqref="Q37">
    <cfRule type="iconSet" priority="1342">
      <iconSet reverse="1">
        <cfvo type="percent" val="0"/>
        <cfvo type="formula" val="$R$37"/>
        <cfvo type="formula" val="$R$37" gte="0"/>
      </iconSet>
    </cfRule>
  </conditionalFormatting>
  <conditionalFormatting sqref="Q20">
    <cfRule type="iconSet" priority="1341">
      <iconSet reverse="1">
        <cfvo type="percent" val="0"/>
        <cfvo type="formula" val="$R$20"/>
        <cfvo type="formula" val="$R$20" gte="0"/>
      </iconSet>
    </cfRule>
  </conditionalFormatting>
  <conditionalFormatting sqref="Q38">
    <cfRule type="iconSet" priority="1340">
      <iconSet reverse="1">
        <cfvo type="percent" val="0"/>
        <cfvo type="formula" val="$R$38"/>
        <cfvo type="formula" val="$R$38" gte="0"/>
      </iconSet>
    </cfRule>
  </conditionalFormatting>
  <conditionalFormatting sqref="Q49">
    <cfRule type="iconSet" priority="1339">
      <iconSet reverse="1">
        <cfvo type="percent" val="0"/>
        <cfvo type="formula" val="$R$49"/>
        <cfvo type="formula" val="$R$49" gte="0"/>
      </iconSet>
    </cfRule>
  </conditionalFormatting>
  <conditionalFormatting sqref="Q58">
    <cfRule type="iconSet" priority="1338">
      <iconSet reverse="1">
        <cfvo type="percent" val="0"/>
        <cfvo type="formula" val="$R$58"/>
        <cfvo type="formula" val="$R$58" gte="0"/>
      </iconSet>
    </cfRule>
  </conditionalFormatting>
  <conditionalFormatting sqref="Q7">
    <cfRule type="iconSet" priority="1337">
      <iconSet reverse="1">
        <cfvo type="percent" val="0"/>
        <cfvo type="formula" val="$R$7"/>
        <cfvo type="formula" val="$R$7" gte="0"/>
      </iconSet>
    </cfRule>
  </conditionalFormatting>
  <conditionalFormatting sqref="Q21">
    <cfRule type="iconSet" priority="1336">
      <iconSet reverse="1">
        <cfvo type="percent" val="0"/>
        <cfvo type="formula" val="$R$21"/>
        <cfvo type="formula" val="$R$21" gte="0"/>
      </iconSet>
    </cfRule>
  </conditionalFormatting>
  <conditionalFormatting sqref="Q59">
    <cfRule type="iconSet" priority="1335">
      <iconSet reverse="1">
        <cfvo type="percent" val="0"/>
        <cfvo type="formula" val="$R$59"/>
        <cfvo type="formula" val="$R$59" gte="0"/>
      </iconSet>
    </cfRule>
  </conditionalFormatting>
  <conditionalFormatting sqref="Q50">
    <cfRule type="iconSet" priority="1334">
      <iconSet reverse="1">
        <cfvo type="percent" val="0"/>
        <cfvo type="formula" val="$R$50"/>
        <cfvo type="formula" val="$R$50" gte="0"/>
      </iconSet>
    </cfRule>
  </conditionalFormatting>
  <conditionalFormatting sqref="Q22">
    <cfRule type="iconSet" priority="1333">
      <iconSet reverse="1">
        <cfvo type="percent" val="0"/>
        <cfvo type="formula" val="$R$22"/>
        <cfvo type="formula" val="$R$22"/>
      </iconSet>
    </cfRule>
  </conditionalFormatting>
  <conditionalFormatting sqref="Q39">
    <cfRule type="iconSet" priority="1332">
      <iconSet reverse="1">
        <cfvo type="percent" val="0"/>
        <cfvo type="formula" val="$R$39"/>
        <cfvo type="formula" val="$R$39" gte="0"/>
      </iconSet>
    </cfRule>
  </conditionalFormatting>
  <conditionalFormatting sqref="Q51">
    <cfRule type="iconSet" priority="1331">
      <iconSet reverse="1">
        <cfvo type="percent" val="0"/>
        <cfvo type="formula" val="$R$51"/>
        <cfvo type="formula" val="$R$51" gte="0"/>
      </iconSet>
    </cfRule>
  </conditionalFormatting>
  <conditionalFormatting sqref="Q23">
    <cfRule type="iconSet" priority="1330">
      <iconSet reverse="1">
        <cfvo type="percent" val="0"/>
        <cfvo type="formula" val="$R$23"/>
        <cfvo type="formula" val="$R$23" gte="0"/>
      </iconSet>
    </cfRule>
  </conditionalFormatting>
  <conditionalFormatting sqref="Q24">
    <cfRule type="iconSet" priority="1329">
      <iconSet reverse="1">
        <cfvo type="percent" val="0"/>
        <cfvo type="formula" val="$R$24"/>
        <cfvo type="formula" val="$R$24" gte="0"/>
      </iconSet>
    </cfRule>
  </conditionalFormatting>
  <conditionalFormatting sqref="Q25">
    <cfRule type="iconSet" priority="1328">
      <iconSet reverse="1">
        <cfvo type="percent" val="0"/>
        <cfvo type="formula" val="$R$25"/>
        <cfvo type="formula" val="$R$25" gte="0"/>
      </iconSet>
    </cfRule>
  </conditionalFormatting>
  <conditionalFormatting sqref="Q8">
    <cfRule type="iconSet" priority="1327">
      <iconSet reverse="1">
        <cfvo type="percent" val="0"/>
        <cfvo type="formula" val="$R$8"/>
        <cfvo type="formula" val="$R$8" gte="0"/>
      </iconSet>
    </cfRule>
  </conditionalFormatting>
  <conditionalFormatting sqref="Q52">
    <cfRule type="iconSet" priority="1326">
      <iconSet reverse="1">
        <cfvo type="percent" val="0"/>
        <cfvo type="formula" val="$R$52"/>
        <cfvo type="formula" val="$R$52" gte="0"/>
      </iconSet>
    </cfRule>
  </conditionalFormatting>
  <conditionalFormatting sqref="Q53">
    <cfRule type="iconSet" priority="1325">
      <iconSet reverse="1">
        <cfvo type="percent" val="0"/>
        <cfvo type="formula" val="$R$53"/>
        <cfvo type="formula" val="$R$53" gte="0"/>
      </iconSet>
    </cfRule>
  </conditionalFormatting>
  <conditionalFormatting sqref="Q9">
    <cfRule type="iconSet" priority="1324">
      <iconSet reverse="1">
        <cfvo type="percent" val="0"/>
        <cfvo type="formula" val="$R$9"/>
        <cfvo type="formula" val="$R$9" gte="0"/>
      </iconSet>
    </cfRule>
  </conditionalFormatting>
  <conditionalFormatting sqref="Q10">
    <cfRule type="iconSet" priority="1323">
      <iconSet reverse="1">
        <cfvo type="percent" val="0"/>
        <cfvo type="formula" val="$R$10"/>
        <cfvo type="formula" val="$R$10" gte="0"/>
      </iconSet>
    </cfRule>
  </conditionalFormatting>
  <conditionalFormatting sqref="Q26">
    <cfRule type="iconSet" priority="1322">
      <iconSet reverse="1">
        <cfvo type="percent" val="0"/>
        <cfvo type="formula" val="$R$26"/>
        <cfvo type="formula" val="$R$26" gte="0"/>
      </iconSet>
    </cfRule>
  </conditionalFormatting>
  <conditionalFormatting sqref="Q11">
    <cfRule type="iconSet" priority="1321">
      <iconSet reverse="1">
        <cfvo type="percent" val="0"/>
        <cfvo type="formula" val="$R$11"/>
        <cfvo type="formula" val="$R$11" gte="0"/>
      </iconSet>
    </cfRule>
  </conditionalFormatting>
  <conditionalFormatting sqref="Q27">
    <cfRule type="iconSet" priority="1320">
      <iconSet reverse="1">
        <cfvo type="percent" val="0"/>
        <cfvo type="formula" val="$R$27"/>
        <cfvo type="formula" val="$R$27" gte="0"/>
      </iconSet>
    </cfRule>
  </conditionalFormatting>
  <conditionalFormatting sqref="Q40">
    <cfRule type="iconSet" priority="1319">
      <iconSet reverse="1">
        <cfvo type="percent" val="0"/>
        <cfvo type="formula" val="$R$40"/>
        <cfvo type="formula" val="$R$40" gte="0"/>
      </iconSet>
    </cfRule>
  </conditionalFormatting>
  <conditionalFormatting sqref="Q41">
    <cfRule type="iconSet" priority="1318">
      <iconSet reverse="1">
        <cfvo type="percent" val="0"/>
        <cfvo type="formula" val="$R$41"/>
        <cfvo type="formula" val="$R$41" gte="0"/>
      </iconSet>
    </cfRule>
  </conditionalFormatting>
  <conditionalFormatting sqref="Q12">
    <cfRule type="iconSet" priority="1317">
      <iconSet reverse="1">
        <cfvo type="percent" val="0"/>
        <cfvo type="formula" val="$R$12"/>
        <cfvo type="formula" val="$R$12" gte="0"/>
      </iconSet>
    </cfRule>
  </conditionalFormatting>
  <conditionalFormatting sqref="Q13">
    <cfRule type="iconSet" priority="1316">
      <iconSet reverse="1">
        <cfvo type="percent" val="0"/>
        <cfvo type="formula" val="$R$13"/>
        <cfvo type="formula" val="$R$13" gte="0"/>
      </iconSet>
    </cfRule>
  </conditionalFormatting>
  <conditionalFormatting sqref="Q44">
    <cfRule type="iconSet" priority="1315">
      <iconSet reverse="1">
        <cfvo type="percent" val="0"/>
        <cfvo type="formula" val="$R$44"/>
        <cfvo type="formula" val="$R$44" gte="0"/>
      </iconSet>
    </cfRule>
  </conditionalFormatting>
  <conditionalFormatting sqref="Q14">
    <cfRule type="iconSet" priority="1314">
      <iconSet reverse="1">
        <cfvo type="percent" val="0"/>
        <cfvo type="formula" val="$R$14"/>
        <cfvo type="formula" val="$R$14" gte="0"/>
      </iconSet>
    </cfRule>
  </conditionalFormatting>
  <conditionalFormatting sqref="Q45">
    <cfRule type="iconSet" priority="1313">
      <iconSet reverse="1">
        <cfvo type="percent" val="0"/>
        <cfvo type="formula" val="$R$45"/>
        <cfvo type="formula" val="$R$45" gte="0"/>
      </iconSet>
    </cfRule>
  </conditionalFormatting>
  <conditionalFormatting sqref="Q54">
    <cfRule type="iconSet" priority="1312">
      <iconSet reverse="1">
        <cfvo type="percent" val="0"/>
        <cfvo type="formula" val="$R$54"/>
        <cfvo type="formula" val="$R$54" gte="0"/>
      </iconSet>
    </cfRule>
  </conditionalFormatting>
  <conditionalFormatting sqref="Q42">
    <cfRule type="iconSet" priority="1311">
      <iconSet reverse="1">
        <cfvo type="percent" val="0"/>
        <cfvo type="formula" val="$R$42"/>
        <cfvo type="formula" val="$R$42" gte="0"/>
      </iconSet>
    </cfRule>
  </conditionalFormatting>
  <conditionalFormatting sqref="Q15">
    <cfRule type="iconSet" priority="1310">
      <iconSet reverse="1">
        <cfvo type="percent" val="0"/>
        <cfvo type="formula" val="$R$15"/>
        <cfvo type="formula" val="$R$15" gte="0"/>
      </iconSet>
    </cfRule>
  </conditionalFormatting>
  <conditionalFormatting sqref="Q43">
    <cfRule type="iconSet" priority="1309">
      <iconSet reverse="1">
        <cfvo type="percent" val="0"/>
        <cfvo type="formula" val="$R$43"/>
        <cfvo type="formula" val="$R$43" gte="0"/>
      </iconSet>
    </cfRule>
  </conditionalFormatting>
  <conditionalFormatting sqref="Q16">
    <cfRule type="iconSet" priority="1308">
      <iconSet reverse="1">
        <cfvo type="percent" val="0"/>
        <cfvo type="formula" val="$R$16"/>
        <cfvo type="formula" val="$R$16" gte="0"/>
      </iconSet>
    </cfRule>
  </conditionalFormatting>
  <conditionalFormatting sqref="Q17">
    <cfRule type="iconSet" priority="1307">
      <iconSet reverse="1">
        <cfvo type="percent" val="0"/>
        <cfvo type="formula" val="$R$17"/>
        <cfvo type="formula" val="$R$17" gte="0"/>
      </iconSet>
    </cfRule>
  </conditionalFormatting>
  <conditionalFormatting sqref="Q29">
    <cfRule type="iconSet" priority="1306">
      <iconSet reverse="1">
        <cfvo type="percent" val="0"/>
        <cfvo type="formula" val="$R$29"/>
        <cfvo type="formula" val="$R$29" gte="0"/>
      </iconSet>
    </cfRule>
  </conditionalFormatting>
  <conditionalFormatting sqref="Q55">
    <cfRule type="iconSet" priority="1305">
      <iconSet reverse="1">
        <cfvo type="percent" val="0"/>
        <cfvo type="formula" val="$R$55"/>
        <cfvo type="formula" val="$R$55" gte="0"/>
      </iconSet>
    </cfRule>
  </conditionalFormatting>
  <conditionalFormatting sqref="Q28">
    <cfRule type="iconSet" priority="1304">
      <iconSet reverse="1">
        <cfvo type="percent" val="0"/>
        <cfvo type="formula" val="$R$28"/>
        <cfvo type="formula" val="$R$28" gte="0"/>
      </iconSet>
    </cfRule>
  </conditionalFormatting>
  <conditionalFormatting sqref="Q18">
    <cfRule type="iconSet" priority="1303">
      <iconSet reverse="1">
        <cfvo type="percent" val="0"/>
        <cfvo type="formula" val="$R$18"/>
        <cfvo type="formula" val="$R$18" gte="0"/>
      </iconSet>
    </cfRule>
  </conditionalFormatting>
  <conditionalFormatting sqref="Q56">
    <cfRule type="iconSet" priority="1302">
      <iconSet reverse="1">
        <cfvo type="percent" val="0"/>
        <cfvo type="formula" val="$R$56"/>
        <cfvo type="formula" val="$R$56" gte="0"/>
      </iconSet>
    </cfRule>
  </conditionalFormatting>
  <conditionalFormatting sqref="Q30">
    <cfRule type="iconSet" priority="1301">
      <iconSet reverse="1">
        <cfvo type="percent" val="0"/>
        <cfvo type="formula" val="$R$30"/>
        <cfvo type="formula" val="$R$30" gte="0"/>
      </iconSet>
    </cfRule>
  </conditionalFormatting>
  <conditionalFormatting sqref="Q31">
    <cfRule type="iconSet" priority="1300">
      <iconSet reverse="1">
        <cfvo type="percent" val="0"/>
        <cfvo type="formula" val="$R$31"/>
        <cfvo type="formula" val="$R$31" gte="0"/>
      </iconSet>
    </cfRule>
  </conditionalFormatting>
  <conditionalFormatting sqref="Q46">
    <cfRule type="iconSet" priority="1299">
      <iconSet reverse="1">
        <cfvo type="percent" val="0"/>
        <cfvo type="formula" val="$R$46"/>
        <cfvo type="formula" val="$R$46" gte="0"/>
      </iconSet>
    </cfRule>
  </conditionalFormatting>
  <conditionalFormatting sqref="Q47">
    <cfRule type="iconSet" priority="1298">
      <iconSet reverse="1">
        <cfvo type="percent" val="0"/>
        <cfvo type="formula" val="$R$47"/>
        <cfvo type="formula" val="$R$47" gte="0"/>
      </iconSet>
    </cfRule>
  </conditionalFormatting>
  <conditionalFormatting sqref="Q32">
    <cfRule type="iconSet" priority="1297">
      <iconSet reverse="1">
        <cfvo type="percent" val="0"/>
        <cfvo type="formula" val="$R$32"/>
        <cfvo type="formula" val="$R$32" gte="0"/>
      </iconSet>
    </cfRule>
  </conditionalFormatting>
  <conditionalFormatting sqref="Q60">
    <cfRule type="iconSet" priority="1296">
      <iconSet reverse="1">
        <cfvo type="percent" val="0"/>
        <cfvo type="formula" val="$R$60"/>
        <cfvo type="formula" val="$R$60" gte="0"/>
      </iconSet>
    </cfRule>
  </conditionalFormatting>
  <conditionalFormatting sqref="Q61">
    <cfRule type="iconSet" priority="1295">
      <iconSet reverse="1">
        <cfvo type="percent" val="0"/>
        <cfvo type="formula" val="$R$61"/>
        <cfvo type="formula" val="$R$61" gte="0"/>
      </iconSet>
    </cfRule>
  </conditionalFormatting>
  <conditionalFormatting sqref="Q57">
    <cfRule type="iconSet" priority="1294">
      <iconSet reverse="1">
        <cfvo type="percent" val="0"/>
        <cfvo type="formula" val="$R$57"/>
        <cfvo type="formula" val="$R$57" gte="0"/>
      </iconSet>
    </cfRule>
  </conditionalFormatting>
  <conditionalFormatting sqref="Q33">
    <cfRule type="iconSet" priority="1293">
      <iconSet reverse="1">
        <cfvo type="percent" val="0"/>
        <cfvo type="formula" val="$R$33"/>
        <cfvo type="formula" val="$R$33" gte="0"/>
      </iconSet>
    </cfRule>
  </conditionalFormatting>
  <conditionalFormatting sqref="Q34">
    <cfRule type="iconSet" priority="1292">
      <iconSet reverse="1">
        <cfvo type="percent" val="0"/>
        <cfvo type="formula" val="$R$34"/>
        <cfvo type="formula" val="$R$34" gte="0"/>
      </iconSet>
    </cfRule>
  </conditionalFormatting>
  <conditionalFormatting sqref="Q48">
    <cfRule type="iconSet" priority="1291">
      <iconSet reverse="1">
        <cfvo type="percent" val="0"/>
        <cfvo type="formula" val="$R$48"/>
        <cfvo type="formula" val="$R$48" gte="0"/>
      </iconSet>
    </cfRule>
  </conditionalFormatting>
  <conditionalFormatting sqref="Q19">
    <cfRule type="iconSet" priority="1290">
      <iconSet reverse="1">
        <cfvo type="percent" val="0"/>
        <cfvo type="formula" val="$R$19"/>
        <cfvo type="formula" val="$R$19" gte="0"/>
      </iconSet>
    </cfRule>
  </conditionalFormatting>
  <conditionalFormatting sqref="Q35">
    <cfRule type="iconSet" priority="1289">
      <iconSet reverse="1">
        <cfvo type="percent" val="0"/>
        <cfvo type="formula" val="$R$35"/>
        <cfvo type="formula" val="$R$35" gte="0"/>
      </iconSet>
    </cfRule>
  </conditionalFormatting>
  <conditionalFormatting sqref="Q62">
    <cfRule type="iconSet" priority="1288">
      <iconSet reverse="1">
        <cfvo type="percent" val="0"/>
        <cfvo type="formula" val="$R$62"/>
        <cfvo type="formula" val="$R$62" gte="0"/>
      </iconSet>
    </cfRule>
  </conditionalFormatting>
  <conditionalFormatting sqref="Q36">
    <cfRule type="iconSet" priority="1287">
      <iconSet reverse="1">
        <cfvo type="percent" val="0"/>
        <cfvo type="formula" val="$R$36"/>
        <cfvo type="formula" val="$R$36" gte="0"/>
      </iconSet>
    </cfRule>
  </conditionalFormatting>
  <conditionalFormatting sqref="Q69">
    <cfRule type="iconSet" priority="1286">
      <iconSet reverse="1">
        <cfvo type="percent" val="0"/>
        <cfvo type="formula" val="$R$69"/>
        <cfvo type="formula" val="$R$69" gte="0"/>
      </iconSet>
    </cfRule>
  </conditionalFormatting>
  <conditionalFormatting sqref="Q70">
    <cfRule type="iconSet" priority="1285">
      <iconSet reverse="1">
        <cfvo type="percent" val="0"/>
        <cfvo type="formula" val="$R$70"/>
        <cfvo type="formula" val="$R$70" gte="0"/>
      </iconSet>
    </cfRule>
  </conditionalFormatting>
  <conditionalFormatting sqref="Q71">
    <cfRule type="iconSet" priority="1284">
      <iconSet reverse="1">
        <cfvo type="percent" val="0"/>
        <cfvo type="formula" val="$R$71"/>
        <cfvo type="formula" val="$R$71" gte="0"/>
      </iconSet>
    </cfRule>
  </conditionalFormatting>
  <conditionalFormatting sqref="Q72">
    <cfRule type="iconSet" priority="1283">
      <iconSet reverse="1">
        <cfvo type="percent" val="0"/>
        <cfvo type="formula" val="$R$72"/>
        <cfvo type="formula" val="$R$72" gte="0"/>
      </iconSet>
    </cfRule>
  </conditionalFormatting>
  <conditionalFormatting sqref="Q73">
    <cfRule type="iconSet" priority="1282">
      <iconSet reverse="1">
        <cfvo type="percent" val="0"/>
        <cfvo type="formula" val="$R$73"/>
        <cfvo type="formula" val="$R$73" gte="0"/>
      </iconSet>
    </cfRule>
  </conditionalFormatting>
  <conditionalFormatting sqref="M6">
    <cfRule type="iconSet" priority="1219">
      <iconSet reverse="1">
        <cfvo type="percent" val="0"/>
        <cfvo type="formula" val="$N$6"/>
        <cfvo type="formula" val="$N$6" gte="0"/>
      </iconSet>
    </cfRule>
  </conditionalFormatting>
  <conditionalFormatting sqref="M37">
    <cfRule type="iconSet" priority="1218">
      <iconSet reverse="1">
        <cfvo type="percent" val="0"/>
        <cfvo type="formula" val="$N$37"/>
        <cfvo type="formula" val="$N$37" gte="0"/>
      </iconSet>
    </cfRule>
  </conditionalFormatting>
  <conditionalFormatting sqref="M20">
    <cfRule type="iconSet" priority="1217">
      <iconSet reverse="1">
        <cfvo type="percent" val="0"/>
        <cfvo type="formula" val="$N$20"/>
        <cfvo type="formula" val="$N$20" gte="0"/>
      </iconSet>
    </cfRule>
  </conditionalFormatting>
  <conditionalFormatting sqref="M38">
    <cfRule type="iconSet" priority="1216">
      <iconSet reverse="1">
        <cfvo type="percent" val="0"/>
        <cfvo type="formula" val="$N$38"/>
        <cfvo type="formula" val="$N$38" gte="0"/>
      </iconSet>
    </cfRule>
  </conditionalFormatting>
  <conditionalFormatting sqref="M49">
    <cfRule type="iconSet" priority="1215">
      <iconSet reverse="1">
        <cfvo type="percent" val="0"/>
        <cfvo type="formula" val="$N$49"/>
        <cfvo type="formula" val="$N$49" gte="0"/>
      </iconSet>
    </cfRule>
  </conditionalFormatting>
  <conditionalFormatting sqref="M58">
    <cfRule type="iconSet" priority="1214">
      <iconSet reverse="1">
        <cfvo type="percent" val="0"/>
        <cfvo type="formula" val="$N$58"/>
        <cfvo type="formula" val="$N$58" gte="0"/>
      </iconSet>
    </cfRule>
  </conditionalFormatting>
  <conditionalFormatting sqref="M7">
    <cfRule type="iconSet" priority="1213">
      <iconSet reverse="1">
        <cfvo type="percent" val="0"/>
        <cfvo type="formula" val="$N$7"/>
        <cfvo type="formula" val="$N$7" gte="0"/>
      </iconSet>
    </cfRule>
  </conditionalFormatting>
  <conditionalFormatting sqref="M21">
    <cfRule type="iconSet" priority="1212">
      <iconSet reverse="1">
        <cfvo type="percent" val="0"/>
        <cfvo type="formula" val="$N$21"/>
        <cfvo type="formula" val="$N$21" gte="0"/>
      </iconSet>
    </cfRule>
  </conditionalFormatting>
  <conditionalFormatting sqref="M59">
    <cfRule type="iconSet" priority="1211">
      <iconSet reverse="1">
        <cfvo type="percent" val="0"/>
        <cfvo type="formula" val="$N$59"/>
        <cfvo type="formula" val="$N$59" gte="0"/>
      </iconSet>
    </cfRule>
  </conditionalFormatting>
  <conditionalFormatting sqref="M50">
    <cfRule type="iconSet" priority="1210">
      <iconSet reverse="1">
        <cfvo type="percent" val="0"/>
        <cfvo type="formula" val="$N$50"/>
        <cfvo type="formula" val="$N$50" gte="0"/>
      </iconSet>
    </cfRule>
  </conditionalFormatting>
  <conditionalFormatting sqref="M22">
    <cfRule type="iconSet" priority="1209">
      <iconSet reverse="1">
        <cfvo type="percent" val="0"/>
        <cfvo type="formula" val="$N$22"/>
        <cfvo type="formula" val="$N$22" gte="0"/>
      </iconSet>
    </cfRule>
  </conditionalFormatting>
  <conditionalFormatting sqref="M39">
    <cfRule type="iconSet" priority="1208">
      <iconSet reverse="1">
        <cfvo type="percent" val="0"/>
        <cfvo type="formula" val="$N$39"/>
        <cfvo type="formula" val="$N$39" gte="0"/>
      </iconSet>
    </cfRule>
  </conditionalFormatting>
  <conditionalFormatting sqref="M51">
    <cfRule type="iconSet" priority="1207">
      <iconSet reverse="1">
        <cfvo type="percent" val="0"/>
        <cfvo type="formula" val="$N$51"/>
        <cfvo type="formula" val="$N$51" gte="0"/>
      </iconSet>
    </cfRule>
  </conditionalFormatting>
  <conditionalFormatting sqref="M23">
    <cfRule type="iconSet" priority="1206">
      <iconSet reverse="1">
        <cfvo type="percent" val="0"/>
        <cfvo type="formula" val="$N$23"/>
        <cfvo type="formula" val="$N$23" gte="0"/>
      </iconSet>
    </cfRule>
  </conditionalFormatting>
  <conditionalFormatting sqref="M24">
    <cfRule type="iconSet" priority="1205">
      <iconSet reverse="1">
        <cfvo type="percent" val="0"/>
        <cfvo type="formula" val="$N$24"/>
        <cfvo type="formula" val="$N$24" gte="0"/>
      </iconSet>
    </cfRule>
  </conditionalFormatting>
  <conditionalFormatting sqref="M25">
    <cfRule type="iconSet" priority="1204">
      <iconSet reverse="1">
        <cfvo type="percent" val="0"/>
        <cfvo type="formula" val="$N$25"/>
        <cfvo type="formula" val="$N$25" gte="0"/>
      </iconSet>
    </cfRule>
  </conditionalFormatting>
  <conditionalFormatting sqref="M8">
    <cfRule type="iconSet" priority="1203">
      <iconSet reverse="1">
        <cfvo type="percent" val="0"/>
        <cfvo type="formula" val="$N$8"/>
        <cfvo type="formula" val="$N$8" gte="0"/>
      </iconSet>
    </cfRule>
  </conditionalFormatting>
  <conditionalFormatting sqref="M52">
    <cfRule type="iconSet" priority="1202">
      <iconSet reverse="1">
        <cfvo type="percent" val="0"/>
        <cfvo type="formula" val="$N$52"/>
        <cfvo type="formula" val="$N$52" gte="0"/>
      </iconSet>
    </cfRule>
  </conditionalFormatting>
  <conditionalFormatting sqref="M53">
    <cfRule type="iconSet" priority="1201">
      <iconSet reverse="1">
        <cfvo type="percent" val="0"/>
        <cfvo type="formula" val="$N$53"/>
        <cfvo type="formula" val="$N$53" gte="0"/>
      </iconSet>
    </cfRule>
  </conditionalFormatting>
  <conditionalFormatting sqref="M9">
    <cfRule type="iconSet" priority="1200">
      <iconSet reverse="1">
        <cfvo type="percent" val="0"/>
        <cfvo type="formula" val="$N$9"/>
        <cfvo type="formula" val="$N$9" gte="0"/>
      </iconSet>
    </cfRule>
  </conditionalFormatting>
  <conditionalFormatting sqref="M10">
    <cfRule type="iconSet" priority="1199">
      <iconSet reverse="1">
        <cfvo type="percent" val="0"/>
        <cfvo type="formula" val="$N$10"/>
        <cfvo type="formula" val="$N$10" gte="0"/>
      </iconSet>
    </cfRule>
  </conditionalFormatting>
  <conditionalFormatting sqref="M26">
    <cfRule type="iconSet" priority="1198">
      <iconSet reverse="1">
        <cfvo type="percent" val="0"/>
        <cfvo type="formula" val="$N$26"/>
        <cfvo type="formula" val="$N$26" gte="0"/>
      </iconSet>
    </cfRule>
  </conditionalFormatting>
  <conditionalFormatting sqref="M11">
    <cfRule type="iconSet" priority="1197">
      <iconSet reverse="1">
        <cfvo type="percent" val="0"/>
        <cfvo type="formula" val="$N$11"/>
        <cfvo type="formula" val="$N$11" gte="0"/>
      </iconSet>
    </cfRule>
  </conditionalFormatting>
  <conditionalFormatting sqref="M27">
    <cfRule type="iconSet" priority="1196">
      <iconSet reverse="1">
        <cfvo type="percent" val="0"/>
        <cfvo type="formula" val="$N$27"/>
        <cfvo type="formula" val="$N$27" gte="0"/>
      </iconSet>
    </cfRule>
  </conditionalFormatting>
  <conditionalFormatting sqref="M40">
    <cfRule type="iconSet" priority="1195">
      <iconSet reverse="1">
        <cfvo type="percent" val="0"/>
        <cfvo type="formula" val="$N$40"/>
        <cfvo type="formula" val="$N$40" gte="0"/>
      </iconSet>
    </cfRule>
  </conditionalFormatting>
  <conditionalFormatting sqref="M41">
    <cfRule type="iconSet" priority="1194">
      <iconSet reverse="1">
        <cfvo type="percent" val="0"/>
        <cfvo type="formula" val="$N$41"/>
        <cfvo type="formula" val="$N$41" gte="0"/>
      </iconSet>
    </cfRule>
  </conditionalFormatting>
  <conditionalFormatting sqref="M12">
    <cfRule type="iconSet" priority="1193">
      <iconSet reverse="1">
        <cfvo type="percent" val="0"/>
        <cfvo type="formula" val="$N$12"/>
        <cfvo type="formula" val="$N$12" gte="0"/>
      </iconSet>
    </cfRule>
  </conditionalFormatting>
  <conditionalFormatting sqref="M13">
    <cfRule type="iconSet" priority="1192">
      <iconSet reverse="1">
        <cfvo type="percent" val="0"/>
        <cfvo type="formula" val="$N$13"/>
        <cfvo type="formula" val="$N$13" gte="0"/>
      </iconSet>
    </cfRule>
  </conditionalFormatting>
  <conditionalFormatting sqref="M44">
    <cfRule type="iconSet" priority="1191">
      <iconSet reverse="1">
        <cfvo type="percent" val="0"/>
        <cfvo type="formula" val="$N$44"/>
        <cfvo type="formula" val="$N$44" gte="0"/>
      </iconSet>
    </cfRule>
  </conditionalFormatting>
  <conditionalFormatting sqref="M14">
    <cfRule type="iconSet" priority="1190">
      <iconSet reverse="1">
        <cfvo type="percent" val="0"/>
        <cfvo type="formula" val="$N$14"/>
        <cfvo type="formula" val="$N$14" gte="0"/>
      </iconSet>
    </cfRule>
  </conditionalFormatting>
  <conditionalFormatting sqref="M45">
    <cfRule type="iconSet" priority="1189">
      <iconSet reverse="1">
        <cfvo type="percent" val="0"/>
        <cfvo type="formula" val="$N$45"/>
        <cfvo type="formula" val="$N$45" gte="0"/>
      </iconSet>
    </cfRule>
  </conditionalFormatting>
  <conditionalFormatting sqref="M54">
    <cfRule type="iconSet" priority="1188">
      <iconSet reverse="1">
        <cfvo type="percent" val="0"/>
        <cfvo type="formula" val="$N$54"/>
        <cfvo type="formula" val="$N$54" gte="0"/>
      </iconSet>
    </cfRule>
  </conditionalFormatting>
  <conditionalFormatting sqref="M42">
    <cfRule type="iconSet" priority="1187">
      <iconSet reverse="1">
        <cfvo type="percent" val="0"/>
        <cfvo type="formula" val="$N$42"/>
        <cfvo type="formula" val="$N$42" gte="0"/>
      </iconSet>
    </cfRule>
  </conditionalFormatting>
  <conditionalFormatting sqref="M15">
    <cfRule type="iconSet" priority="1186">
      <iconSet reverse="1">
        <cfvo type="percent" val="0"/>
        <cfvo type="formula" val="$N$15"/>
        <cfvo type="formula" val="$N$15" gte="0"/>
      </iconSet>
    </cfRule>
  </conditionalFormatting>
  <conditionalFormatting sqref="M43">
    <cfRule type="iconSet" priority="1185">
      <iconSet reverse="1">
        <cfvo type="percent" val="0"/>
        <cfvo type="formula" val="$N$43"/>
        <cfvo type="formula" val="$N$43" gte="0"/>
      </iconSet>
    </cfRule>
  </conditionalFormatting>
  <conditionalFormatting sqref="M16">
    <cfRule type="iconSet" priority="1184">
      <iconSet reverse="1">
        <cfvo type="percent" val="0"/>
        <cfvo type="formula" val="$N$16"/>
        <cfvo type="formula" val="$N$16" gte="0"/>
      </iconSet>
    </cfRule>
  </conditionalFormatting>
  <conditionalFormatting sqref="M17">
    <cfRule type="iconSet" priority="1183">
      <iconSet reverse="1">
        <cfvo type="percent" val="0"/>
        <cfvo type="formula" val="$N$17"/>
        <cfvo type="formula" val="$N$17" gte="0"/>
      </iconSet>
    </cfRule>
  </conditionalFormatting>
  <conditionalFormatting sqref="M29">
    <cfRule type="iconSet" priority="1182">
      <iconSet reverse="1">
        <cfvo type="percent" val="0"/>
        <cfvo type="formula" val="$N$29"/>
        <cfvo type="formula" val="$N$29" gte="0"/>
      </iconSet>
    </cfRule>
  </conditionalFormatting>
  <conditionalFormatting sqref="M55">
    <cfRule type="iconSet" priority="1181">
      <iconSet reverse="1">
        <cfvo type="percent" val="0"/>
        <cfvo type="formula" val="$N$55"/>
        <cfvo type="formula" val="$N$55" gte="0"/>
      </iconSet>
    </cfRule>
  </conditionalFormatting>
  <conditionalFormatting sqref="M28">
    <cfRule type="iconSet" priority="1180">
      <iconSet reverse="1">
        <cfvo type="percent" val="0"/>
        <cfvo type="formula" val="$N$28"/>
        <cfvo type="formula" val="$N$28" gte="0"/>
      </iconSet>
    </cfRule>
  </conditionalFormatting>
  <conditionalFormatting sqref="M18">
    <cfRule type="iconSet" priority="1179">
      <iconSet reverse="1">
        <cfvo type="percent" val="0"/>
        <cfvo type="formula" val="$N$18"/>
        <cfvo type="formula" val="$N$18" gte="0"/>
      </iconSet>
    </cfRule>
  </conditionalFormatting>
  <conditionalFormatting sqref="M56">
    <cfRule type="iconSet" priority="1178">
      <iconSet reverse="1">
        <cfvo type="percent" val="0"/>
        <cfvo type="formula" val="$N$56"/>
        <cfvo type="formula" val="$N$56" gte="0"/>
      </iconSet>
    </cfRule>
  </conditionalFormatting>
  <conditionalFormatting sqref="M30">
    <cfRule type="iconSet" priority="1177">
      <iconSet reverse="1">
        <cfvo type="percent" val="0"/>
        <cfvo type="formula" val="$N$30"/>
        <cfvo type="formula" val="$N$30" gte="0"/>
      </iconSet>
    </cfRule>
  </conditionalFormatting>
  <conditionalFormatting sqref="M31">
    <cfRule type="iconSet" priority="1176">
      <iconSet reverse="1">
        <cfvo type="percent" val="0"/>
        <cfvo type="formula" val="$N$31"/>
        <cfvo type="formula" val="$N$31" gte="0"/>
      </iconSet>
    </cfRule>
  </conditionalFormatting>
  <conditionalFormatting sqref="M46">
    <cfRule type="iconSet" priority="1175">
      <iconSet reverse="1">
        <cfvo type="percent" val="0"/>
        <cfvo type="formula" val="$N$46"/>
        <cfvo type="formula" val="$N$46" gte="0"/>
      </iconSet>
    </cfRule>
  </conditionalFormatting>
  <conditionalFormatting sqref="M47">
    <cfRule type="iconSet" priority="1174">
      <iconSet reverse="1">
        <cfvo type="percent" val="0"/>
        <cfvo type="formula" val="$N$47"/>
        <cfvo type="formula" val="$N$47" gte="0"/>
      </iconSet>
    </cfRule>
  </conditionalFormatting>
  <conditionalFormatting sqref="M32">
    <cfRule type="iconSet" priority="1173">
      <iconSet reverse="1">
        <cfvo type="percent" val="0"/>
        <cfvo type="formula" val="$N$32"/>
        <cfvo type="formula" val="$N$32" gte="0"/>
      </iconSet>
    </cfRule>
  </conditionalFormatting>
  <conditionalFormatting sqref="M60">
    <cfRule type="iconSet" priority="1172">
      <iconSet reverse="1">
        <cfvo type="percent" val="0"/>
        <cfvo type="formula" val="$N$60"/>
        <cfvo type="formula" val="$N$60" gte="0"/>
      </iconSet>
    </cfRule>
  </conditionalFormatting>
  <conditionalFormatting sqref="M61">
    <cfRule type="iconSet" priority="1171">
      <iconSet reverse="1">
        <cfvo type="percent" val="0"/>
        <cfvo type="formula" val="$N$61"/>
        <cfvo type="formula" val="$N$61" gte="0"/>
      </iconSet>
    </cfRule>
  </conditionalFormatting>
  <conditionalFormatting sqref="M57">
    <cfRule type="iconSet" priority="1170">
      <iconSet reverse="1">
        <cfvo type="percent" val="0"/>
        <cfvo type="formula" val="$N$57"/>
        <cfvo type="formula" val="$N$57" gte="0"/>
      </iconSet>
    </cfRule>
  </conditionalFormatting>
  <conditionalFormatting sqref="M33">
    <cfRule type="iconSet" priority="1169">
      <iconSet reverse="1">
        <cfvo type="percent" val="0"/>
        <cfvo type="formula" val="$N$33"/>
        <cfvo type="formula" val="$N$33" gte="0"/>
      </iconSet>
    </cfRule>
  </conditionalFormatting>
  <conditionalFormatting sqref="M34">
    <cfRule type="iconSet" priority="1168">
      <iconSet reverse="1">
        <cfvo type="percent" val="0"/>
        <cfvo type="formula" val="$N$34"/>
        <cfvo type="formula" val="$N$34" gte="0"/>
      </iconSet>
    </cfRule>
  </conditionalFormatting>
  <conditionalFormatting sqref="M48">
    <cfRule type="iconSet" priority="1167">
      <iconSet reverse="1">
        <cfvo type="percent" val="0"/>
        <cfvo type="formula" val="$N$48"/>
        <cfvo type="formula" val="$N$48" gte="0"/>
      </iconSet>
    </cfRule>
  </conditionalFormatting>
  <conditionalFormatting sqref="M19">
    <cfRule type="iconSet" priority="1166">
      <iconSet reverse="1">
        <cfvo type="percent" val="0"/>
        <cfvo type="formula" val="$N$19"/>
        <cfvo type="formula" val="$N$19" gte="0"/>
      </iconSet>
    </cfRule>
  </conditionalFormatting>
  <conditionalFormatting sqref="M35">
    <cfRule type="iconSet" priority="1165">
      <iconSet reverse="1">
        <cfvo type="percent" val="0"/>
        <cfvo type="formula" val="$N$35"/>
        <cfvo type="formula" val="$N$35" gte="0"/>
      </iconSet>
    </cfRule>
  </conditionalFormatting>
  <conditionalFormatting sqref="M62">
    <cfRule type="iconSet" priority="1164">
      <iconSet reverse="1">
        <cfvo type="percent" val="0"/>
        <cfvo type="formula" val="$N$62"/>
        <cfvo type="formula" val="$N$62" gte="0"/>
      </iconSet>
    </cfRule>
  </conditionalFormatting>
  <conditionalFormatting sqref="M36">
    <cfRule type="iconSet" priority="1163">
      <iconSet reverse="1">
        <cfvo type="percent" val="0"/>
        <cfvo type="formula" val="$N$36"/>
        <cfvo type="formula" val="$N$36" gte="0"/>
      </iconSet>
    </cfRule>
  </conditionalFormatting>
  <conditionalFormatting sqref="M69">
    <cfRule type="iconSet" priority="1162">
      <iconSet reverse="1">
        <cfvo type="percent" val="0"/>
        <cfvo type="formula" val="$N$69"/>
        <cfvo type="formula" val="$N$69" gte="0"/>
      </iconSet>
    </cfRule>
  </conditionalFormatting>
  <conditionalFormatting sqref="M70">
    <cfRule type="iconSet" priority="1161">
      <iconSet reverse="1">
        <cfvo type="percent" val="0"/>
        <cfvo type="formula" val="$N$70"/>
        <cfvo type="formula" val="$N$70" gte="0"/>
      </iconSet>
    </cfRule>
  </conditionalFormatting>
  <conditionalFormatting sqref="M71">
    <cfRule type="iconSet" priority="1160">
      <iconSet reverse="1">
        <cfvo type="percent" val="0"/>
        <cfvo type="formula" val="$N$71"/>
        <cfvo type="formula" val="$N$71" gte="0"/>
      </iconSet>
    </cfRule>
  </conditionalFormatting>
  <conditionalFormatting sqref="M72">
    <cfRule type="iconSet" priority="1159">
      <iconSet reverse="1">
        <cfvo type="percent" val="0"/>
        <cfvo type="formula" val="$N$72"/>
        <cfvo type="formula" val="$N$72" gte="0"/>
      </iconSet>
    </cfRule>
  </conditionalFormatting>
  <conditionalFormatting sqref="M73">
    <cfRule type="iconSet" priority="1158">
      <iconSet reverse="1">
        <cfvo type="percent" val="0"/>
        <cfvo type="formula" val="$N$73"/>
        <cfvo type="formula" val="$N$73" gte="0"/>
      </iconSet>
    </cfRule>
  </conditionalFormatting>
  <conditionalFormatting sqref="O6">
    <cfRule type="iconSet" priority="1157">
      <iconSet reverse="1">
        <cfvo type="percent" val="0"/>
        <cfvo type="formula" val="$P$6"/>
        <cfvo type="formula" val="$P$6" gte="0"/>
      </iconSet>
    </cfRule>
  </conditionalFormatting>
  <conditionalFormatting sqref="O37">
    <cfRule type="iconSet" priority="1156">
      <iconSet reverse="1">
        <cfvo type="percent" val="0"/>
        <cfvo type="formula" val="$P$37"/>
        <cfvo type="formula" val="$P$37" gte="0"/>
      </iconSet>
    </cfRule>
  </conditionalFormatting>
  <conditionalFormatting sqref="O20">
    <cfRule type="iconSet" priority="1155">
      <iconSet reverse="1">
        <cfvo type="percent" val="0"/>
        <cfvo type="formula" val="$P$20"/>
        <cfvo type="formula" val="$P$20" gte="0"/>
      </iconSet>
    </cfRule>
  </conditionalFormatting>
  <conditionalFormatting sqref="O38">
    <cfRule type="iconSet" priority="1154">
      <iconSet reverse="1">
        <cfvo type="percent" val="0"/>
        <cfvo type="formula" val="$P$38"/>
        <cfvo type="formula" val="$P$38" gte="0"/>
      </iconSet>
    </cfRule>
  </conditionalFormatting>
  <conditionalFormatting sqref="O49">
    <cfRule type="iconSet" priority="1153">
      <iconSet reverse="1">
        <cfvo type="percent" val="0"/>
        <cfvo type="formula" val="$P$49"/>
        <cfvo type="formula" val="$P$49" gte="0"/>
      </iconSet>
    </cfRule>
  </conditionalFormatting>
  <conditionalFormatting sqref="O58">
    <cfRule type="iconSet" priority="1152">
      <iconSet reverse="1">
        <cfvo type="percent" val="0"/>
        <cfvo type="formula" val="$P$58"/>
        <cfvo type="formula" val="$P$58" gte="0"/>
      </iconSet>
    </cfRule>
  </conditionalFormatting>
  <conditionalFormatting sqref="O7">
    <cfRule type="iconSet" priority="1151">
      <iconSet reverse="1">
        <cfvo type="percent" val="0"/>
        <cfvo type="formula" val="$P$7"/>
        <cfvo type="formula" val="$P$7" gte="0"/>
      </iconSet>
    </cfRule>
  </conditionalFormatting>
  <conditionalFormatting sqref="O21">
    <cfRule type="iconSet" priority="1150">
      <iconSet reverse="1">
        <cfvo type="percent" val="0"/>
        <cfvo type="formula" val="$P$21"/>
        <cfvo type="formula" val="$P$21" gte="0"/>
      </iconSet>
    </cfRule>
  </conditionalFormatting>
  <conditionalFormatting sqref="O59">
    <cfRule type="iconSet" priority="1149">
      <iconSet reverse="1">
        <cfvo type="percent" val="0"/>
        <cfvo type="formula" val="$P$59"/>
        <cfvo type="formula" val="$P$59" gte="0"/>
      </iconSet>
    </cfRule>
  </conditionalFormatting>
  <conditionalFormatting sqref="O50">
    <cfRule type="iconSet" priority="1148">
      <iconSet reverse="1">
        <cfvo type="percent" val="0"/>
        <cfvo type="formula" val="$P$50"/>
        <cfvo type="formula" val="$P$50" gte="0"/>
      </iconSet>
    </cfRule>
  </conditionalFormatting>
  <conditionalFormatting sqref="O22">
    <cfRule type="iconSet" priority="1147">
      <iconSet reverse="1">
        <cfvo type="percent" val="0"/>
        <cfvo type="formula" val="$P$22"/>
        <cfvo type="formula" val="$P$22" gte="0"/>
      </iconSet>
    </cfRule>
  </conditionalFormatting>
  <conditionalFormatting sqref="O39">
    <cfRule type="iconSet" priority="1146">
      <iconSet reverse="1">
        <cfvo type="percent" val="0"/>
        <cfvo type="formula" val="$P$39"/>
        <cfvo type="formula" val="$P$39" gte="0"/>
      </iconSet>
    </cfRule>
  </conditionalFormatting>
  <conditionalFormatting sqref="O51">
    <cfRule type="iconSet" priority="1145">
      <iconSet reverse="1">
        <cfvo type="percent" val="0"/>
        <cfvo type="formula" val="$P$51"/>
        <cfvo type="formula" val="$P$51" gte="0"/>
      </iconSet>
    </cfRule>
  </conditionalFormatting>
  <conditionalFormatting sqref="O23">
    <cfRule type="iconSet" priority="1144">
      <iconSet reverse="1">
        <cfvo type="percent" val="0"/>
        <cfvo type="formula" val="$P$23"/>
        <cfvo type="formula" val="$P$23" gte="0"/>
      </iconSet>
    </cfRule>
  </conditionalFormatting>
  <conditionalFormatting sqref="O24">
    <cfRule type="iconSet" priority="1143">
      <iconSet reverse="1">
        <cfvo type="percent" val="0"/>
        <cfvo type="formula" val="$P$24"/>
        <cfvo type="formula" val="$P$24" gte="0"/>
      </iconSet>
    </cfRule>
  </conditionalFormatting>
  <conditionalFormatting sqref="O25">
    <cfRule type="iconSet" priority="1142">
      <iconSet reverse="1">
        <cfvo type="percent" val="0"/>
        <cfvo type="formula" val="$P$25"/>
        <cfvo type="formula" val="$P$25" gte="0"/>
      </iconSet>
    </cfRule>
  </conditionalFormatting>
  <conditionalFormatting sqref="O8">
    <cfRule type="iconSet" priority="1141">
      <iconSet reverse="1">
        <cfvo type="percent" val="0"/>
        <cfvo type="formula" val="$P$8"/>
        <cfvo type="formula" val="$P$8" gte="0"/>
      </iconSet>
    </cfRule>
  </conditionalFormatting>
  <conditionalFormatting sqref="O52">
    <cfRule type="iconSet" priority="1140">
      <iconSet reverse="1">
        <cfvo type="percent" val="0"/>
        <cfvo type="formula" val="$P$52"/>
        <cfvo type="formula" val="$P$52" gte="0"/>
      </iconSet>
    </cfRule>
  </conditionalFormatting>
  <conditionalFormatting sqref="O53">
    <cfRule type="iconSet" priority="1139">
      <iconSet reverse="1">
        <cfvo type="percent" val="0"/>
        <cfvo type="formula" val="$P$53"/>
        <cfvo type="formula" val="$P$53" gte="0"/>
      </iconSet>
    </cfRule>
  </conditionalFormatting>
  <conditionalFormatting sqref="O9">
    <cfRule type="iconSet" priority="1138">
      <iconSet reverse="1">
        <cfvo type="percent" val="0"/>
        <cfvo type="formula" val="$P$9"/>
        <cfvo type="formula" val="$P$9" gte="0"/>
      </iconSet>
    </cfRule>
  </conditionalFormatting>
  <conditionalFormatting sqref="O10">
    <cfRule type="iconSet" priority="1137">
      <iconSet reverse="1">
        <cfvo type="percent" val="0"/>
        <cfvo type="formula" val="$P$10"/>
        <cfvo type="formula" val="$P$10" gte="0"/>
      </iconSet>
    </cfRule>
  </conditionalFormatting>
  <conditionalFormatting sqref="O26">
    <cfRule type="iconSet" priority="1136">
      <iconSet reverse="1">
        <cfvo type="percent" val="0"/>
        <cfvo type="formula" val="$P$26"/>
        <cfvo type="formula" val="$P$26" gte="0"/>
      </iconSet>
    </cfRule>
  </conditionalFormatting>
  <conditionalFormatting sqref="O11">
    <cfRule type="iconSet" priority="1135">
      <iconSet reverse="1">
        <cfvo type="percent" val="0"/>
        <cfvo type="formula" val="$P$11"/>
        <cfvo type="formula" val="$P$11" gte="0"/>
      </iconSet>
    </cfRule>
  </conditionalFormatting>
  <conditionalFormatting sqref="O27">
    <cfRule type="iconSet" priority="1134">
      <iconSet reverse="1">
        <cfvo type="percent" val="0"/>
        <cfvo type="formula" val="$P$27"/>
        <cfvo type="formula" val="$P$27" gte="0"/>
      </iconSet>
    </cfRule>
  </conditionalFormatting>
  <conditionalFormatting sqref="O40">
    <cfRule type="iconSet" priority="1133">
      <iconSet reverse="1">
        <cfvo type="percent" val="0"/>
        <cfvo type="formula" val="$P$40"/>
        <cfvo type="formula" val="$P$40" gte="0"/>
      </iconSet>
    </cfRule>
  </conditionalFormatting>
  <conditionalFormatting sqref="O41">
    <cfRule type="iconSet" priority="1132">
      <iconSet reverse="1">
        <cfvo type="percent" val="0"/>
        <cfvo type="formula" val="$P$41"/>
        <cfvo type="formula" val="$P$41" gte="0"/>
      </iconSet>
    </cfRule>
  </conditionalFormatting>
  <conditionalFormatting sqref="O12">
    <cfRule type="iconSet" priority="1131">
      <iconSet reverse="1">
        <cfvo type="percent" val="0"/>
        <cfvo type="formula" val="$P$12"/>
        <cfvo type="formula" val="$P$12" gte="0"/>
      </iconSet>
    </cfRule>
  </conditionalFormatting>
  <conditionalFormatting sqref="O13">
    <cfRule type="iconSet" priority="1130">
      <iconSet reverse="1">
        <cfvo type="percent" val="0"/>
        <cfvo type="formula" val="$P$13"/>
        <cfvo type="formula" val="$P$13" gte="0"/>
      </iconSet>
    </cfRule>
  </conditionalFormatting>
  <conditionalFormatting sqref="O44">
    <cfRule type="iconSet" priority="1129">
      <iconSet reverse="1">
        <cfvo type="percent" val="0"/>
        <cfvo type="formula" val="$P$44"/>
        <cfvo type="formula" val="$P$44" gte="0"/>
      </iconSet>
    </cfRule>
  </conditionalFormatting>
  <conditionalFormatting sqref="O14">
    <cfRule type="iconSet" priority="1128">
      <iconSet reverse="1">
        <cfvo type="percent" val="0"/>
        <cfvo type="formula" val="$P$14"/>
        <cfvo type="formula" val="$P$14" gte="0"/>
      </iconSet>
    </cfRule>
  </conditionalFormatting>
  <conditionalFormatting sqref="O45">
    <cfRule type="iconSet" priority="1127">
      <iconSet reverse="1">
        <cfvo type="percent" val="0"/>
        <cfvo type="formula" val="$P$45"/>
        <cfvo type="formula" val="$P$45" gte="0"/>
      </iconSet>
    </cfRule>
  </conditionalFormatting>
  <conditionalFormatting sqref="O54">
    <cfRule type="iconSet" priority="1126">
      <iconSet reverse="1">
        <cfvo type="percent" val="0"/>
        <cfvo type="formula" val="$P$54"/>
        <cfvo type="formula" val="$P$54" gte="0"/>
      </iconSet>
    </cfRule>
  </conditionalFormatting>
  <conditionalFormatting sqref="O42">
    <cfRule type="iconSet" priority="1125">
      <iconSet reverse="1">
        <cfvo type="percent" val="0"/>
        <cfvo type="formula" val="$P$42"/>
        <cfvo type="formula" val="$P$42" gte="0"/>
      </iconSet>
    </cfRule>
  </conditionalFormatting>
  <conditionalFormatting sqref="O15">
    <cfRule type="iconSet" priority="1124">
      <iconSet reverse="1">
        <cfvo type="percent" val="0"/>
        <cfvo type="formula" val="$P$15"/>
        <cfvo type="formula" val="$P$15" gte="0"/>
      </iconSet>
    </cfRule>
  </conditionalFormatting>
  <conditionalFormatting sqref="O43">
    <cfRule type="iconSet" priority="1123">
      <iconSet reverse="1">
        <cfvo type="percent" val="0"/>
        <cfvo type="formula" val="$P$43"/>
        <cfvo type="formula" val="$P$43" gte="0"/>
      </iconSet>
    </cfRule>
  </conditionalFormatting>
  <conditionalFormatting sqref="O16">
    <cfRule type="iconSet" priority="1122">
      <iconSet reverse="1">
        <cfvo type="percent" val="0"/>
        <cfvo type="formula" val="$P$16"/>
        <cfvo type="formula" val="$P$16" gte="0"/>
      </iconSet>
    </cfRule>
  </conditionalFormatting>
  <conditionalFormatting sqref="O17">
    <cfRule type="iconSet" priority="1121">
      <iconSet reverse="1">
        <cfvo type="percent" val="0"/>
        <cfvo type="formula" val="$P$17"/>
        <cfvo type="formula" val="$P$17" gte="0"/>
      </iconSet>
    </cfRule>
  </conditionalFormatting>
  <conditionalFormatting sqref="O29">
    <cfRule type="iconSet" priority="1120">
      <iconSet reverse="1">
        <cfvo type="percent" val="0"/>
        <cfvo type="formula" val="$P$29"/>
        <cfvo type="formula" val="$P$29" gte="0"/>
      </iconSet>
    </cfRule>
  </conditionalFormatting>
  <conditionalFormatting sqref="O55">
    <cfRule type="iconSet" priority="1119">
      <iconSet reverse="1">
        <cfvo type="percent" val="0"/>
        <cfvo type="formula" val="$P$55"/>
        <cfvo type="formula" val="$P$55" gte="0"/>
      </iconSet>
    </cfRule>
  </conditionalFormatting>
  <conditionalFormatting sqref="O28">
    <cfRule type="iconSet" priority="1118">
      <iconSet reverse="1">
        <cfvo type="percent" val="0"/>
        <cfvo type="formula" val="$P$28"/>
        <cfvo type="formula" val="$P$28" gte="0"/>
      </iconSet>
    </cfRule>
  </conditionalFormatting>
  <conditionalFormatting sqref="O18">
    <cfRule type="iconSet" priority="1117">
      <iconSet reverse="1">
        <cfvo type="percent" val="0"/>
        <cfvo type="formula" val="$P$18"/>
        <cfvo type="formula" val="$P$18" gte="0"/>
      </iconSet>
    </cfRule>
  </conditionalFormatting>
  <conditionalFormatting sqref="O56">
    <cfRule type="iconSet" priority="1116">
      <iconSet reverse="1">
        <cfvo type="percent" val="0"/>
        <cfvo type="formula" val="$P$56"/>
        <cfvo type="formula" val="$P$56" gte="0"/>
      </iconSet>
    </cfRule>
  </conditionalFormatting>
  <conditionalFormatting sqref="O30">
    <cfRule type="iconSet" priority="1115">
      <iconSet reverse="1">
        <cfvo type="percent" val="0"/>
        <cfvo type="formula" val="$P$30"/>
        <cfvo type="formula" val="$P$30" gte="0"/>
      </iconSet>
    </cfRule>
  </conditionalFormatting>
  <conditionalFormatting sqref="O31">
    <cfRule type="iconSet" priority="1114">
      <iconSet reverse="1">
        <cfvo type="percent" val="0"/>
        <cfvo type="formula" val="$P$31"/>
        <cfvo type="formula" val="$P$31" gte="0"/>
      </iconSet>
    </cfRule>
  </conditionalFormatting>
  <conditionalFormatting sqref="O46">
    <cfRule type="iconSet" priority="1113">
      <iconSet reverse="1">
        <cfvo type="percent" val="0"/>
        <cfvo type="formula" val="$P$46"/>
        <cfvo type="formula" val="$P$46" gte="0"/>
      </iconSet>
    </cfRule>
  </conditionalFormatting>
  <conditionalFormatting sqref="O47">
    <cfRule type="iconSet" priority="1112">
      <iconSet reverse="1">
        <cfvo type="percent" val="0"/>
        <cfvo type="formula" val="$P$47"/>
        <cfvo type="formula" val="$P$47" gte="0"/>
      </iconSet>
    </cfRule>
  </conditionalFormatting>
  <conditionalFormatting sqref="O32">
    <cfRule type="iconSet" priority="1111">
      <iconSet reverse="1">
        <cfvo type="percent" val="0"/>
        <cfvo type="formula" val="$P$32"/>
        <cfvo type="formula" val="$P$32" gte="0"/>
      </iconSet>
    </cfRule>
  </conditionalFormatting>
  <conditionalFormatting sqref="O60">
    <cfRule type="iconSet" priority="1110">
      <iconSet reverse="1">
        <cfvo type="percent" val="0"/>
        <cfvo type="formula" val="$P$60"/>
        <cfvo type="formula" val="$P$60" gte="0"/>
      </iconSet>
    </cfRule>
  </conditionalFormatting>
  <conditionalFormatting sqref="O61">
    <cfRule type="iconSet" priority="1109">
      <iconSet reverse="1">
        <cfvo type="percent" val="0"/>
        <cfvo type="formula" val="$P$61"/>
        <cfvo type="formula" val="$P$61" gte="0"/>
      </iconSet>
    </cfRule>
  </conditionalFormatting>
  <conditionalFormatting sqref="O57">
    <cfRule type="iconSet" priority="1108">
      <iconSet reverse="1">
        <cfvo type="percent" val="0"/>
        <cfvo type="formula" val="$P$57"/>
        <cfvo type="formula" val="$P$57" gte="0"/>
      </iconSet>
    </cfRule>
  </conditionalFormatting>
  <conditionalFormatting sqref="O33">
    <cfRule type="iconSet" priority="1107">
      <iconSet reverse="1">
        <cfvo type="percent" val="0"/>
        <cfvo type="formula" val="$P$33"/>
        <cfvo type="formula" val="$P$33" gte="0"/>
      </iconSet>
    </cfRule>
  </conditionalFormatting>
  <conditionalFormatting sqref="O34">
    <cfRule type="iconSet" priority="1106">
      <iconSet reverse="1">
        <cfvo type="percent" val="0"/>
        <cfvo type="formula" val="$P$34"/>
        <cfvo type="formula" val="$P$34" gte="0"/>
      </iconSet>
    </cfRule>
  </conditionalFormatting>
  <conditionalFormatting sqref="O48">
    <cfRule type="iconSet" priority="1105">
      <iconSet reverse="1">
        <cfvo type="percent" val="0"/>
        <cfvo type="formula" val="$P$48"/>
        <cfvo type="formula" val="$P$48" gte="0"/>
      </iconSet>
    </cfRule>
  </conditionalFormatting>
  <conditionalFormatting sqref="O19">
    <cfRule type="iconSet" priority="1104">
      <iconSet reverse="1">
        <cfvo type="percent" val="0"/>
        <cfvo type="formula" val="$P$19"/>
        <cfvo type="formula" val="$P$19" gte="0"/>
      </iconSet>
    </cfRule>
  </conditionalFormatting>
  <conditionalFormatting sqref="O35">
    <cfRule type="iconSet" priority="1103">
      <iconSet reverse="1">
        <cfvo type="percent" val="0"/>
        <cfvo type="formula" val="$P$35"/>
        <cfvo type="formula" val="$P$35" gte="0"/>
      </iconSet>
    </cfRule>
  </conditionalFormatting>
  <conditionalFormatting sqref="O62">
    <cfRule type="iconSet" priority="1102">
      <iconSet reverse="1">
        <cfvo type="percent" val="0"/>
        <cfvo type="formula" val="$P$62"/>
        <cfvo type="formula" val="$P$62" gte="0"/>
      </iconSet>
    </cfRule>
  </conditionalFormatting>
  <conditionalFormatting sqref="O36">
    <cfRule type="iconSet" priority="1101">
      <iconSet reverse="1">
        <cfvo type="percent" val="0"/>
        <cfvo type="formula" val="$P$36"/>
        <cfvo type="formula" val="$P$36" gte="0"/>
      </iconSet>
    </cfRule>
  </conditionalFormatting>
  <conditionalFormatting sqref="O69">
    <cfRule type="iconSet" priority="1100">
      <iconSet reverse="1">
        <cfvo type="percent" val="0"/>
        <cfvo type="formula" val="$P$69"/>
        <cfvo type="formula" val="$P$69" gte="0"/>
      </iconSet>
    </cfRule>
  </conditionalFormatting>
  <conditionalFormatting sqref="O70">
    <cfRule type="iconSet" priority="1099">
      <iconSet reverse="1">
        <cfvo type="percent" val="0"/>
        <cfvo type="formula" val="$P$70"/>
        <cfvo type="formula" val="$P$70" gte="0"/>
      </iconSet>
    </cfRule>
  </conditionalFormatting>
  <conditionalFormatting sqref="O71">
    <cfRule type="iconSet" priority="1098">
      <iconSet reverse="1">
        <cfvo type="percent" val="0"/>
        <cfvo type="formula" val="$P$71"/>
        <cfvo type="formula" val="$P$71" gte="0"/>
      </iconSet>
    </cfRule>
  </conditionalFormatting>
  <conditionalFormatting sqref="O72">
    <cfRule type="iconSet" priority="1097">
      <iconSet reverse="1">
        <cfvo type="percent" val="0"/>
        <cfvo type="formula" val="$P$72"/>
        <cfvo type="formula" val="$P$72" gte="0"/>
      </iconSet>
    </cfRule>
  </conditionalFormatting>
  <conditionalFormatting sqref="O73">
    <cfRule type="iconSet" priority="1096">
      <iconSet reverse="1">
        <cfvo type="percent" val="0"/>
        <cfvo type="formula" val="$P$73"/>
        <cfvo type="formula" val="$P$73" gte="0"/>
      </iconSet>
    </cfRule>
  </conditionalFormatting>
  <conditionalFormatting sqref="D6">
    <cfRule type="iconSet" priority="1095">
      <iconSet iconSet="3Arrows">
        <cfvo type="percent" val="0"/>
        <cfvo type="formula" val="$E$6"/>
        <cfvo type="formula" val="$E$6" gte="0"/>
      </iconSet>
    </cfRule>
  </conditionalFormatting>
  <conditionalFormatting sqref="D37">
    <cfRule type="iconSet" priority="1094">
      <iconSet iconSet="3Arrows">
        <cfvo type="percent" val="0"/>
        <cfvo type="formula" val="$E$37"/>
        <cfvo type="formula" val="$E$37" gte="0"/>
      </iconSet>
    </cfRule>
  </conditionalFormatting>
  <conditionalFormatting sqref="D20">
    <cfRule type="iconSet" priority="1093">
      <iconSet iconSet="3Arrows">
        <cfvo type="percent" val="0"/>
        <cfvo type="formula" val="$E$20"/>
        <cfvo type="formula" val="$E$20" gte="0"/>
      </iconSet>
    </cfRule>
  </conditionalFormatting>
  <conditionalFormatting sqref="D38">
    <cfRule type="iconSet" priority="1092">
      <iconSet iconSet="3Arrows">
        <cfvo type="percent" val="0"/>
        <cfvo type="formula" val="$E$38"/>
        <cfvo type="formula" val="$E$38" gte="0"/>
      </iconSet>
    </cfRule>
  </conditionalFormatting>
  <conditionalFormatting sqref="D49">
    <cfRule type="iconSet" priority="1091">
      <iconSet iconSet="3Arrows">
        <cfvo type="percent" val="0"/>
        <cfvo type="formula" val="$E$49"/>
        <cfvo type="formula" val="$E$49" gte="0"/>
      </iconSet>
    </cfRule>
  </conditionalFormatting>
  <conditionalFormatting sqref="D58">
    <cfRule type="iconSet" priority="1090">
      <iconSet iconSet="3Arrows">
        <cfvo type="percent" val="0"/>
        <cfvo type="formula" val="$E$58"/>
        <cfvo type="formula" val="$E$58" gte="0"/>
      </iconSet>
    </cfRule>
  </conditionalFormatting>
  <conditionalFormatting sqref="D7">
    <cfRule type="iconSet" priority="1089">
      <iconSet iconSet="3Arrows">
        <cfvo type="percent" val="0"/>
        <cfvo type="formula" val="$E$7"/>
        <cfvo type="formula" val="$E$7" gte="0"/>
      </iconSet>
    </cfRule>
  </conditionalFormatting>
  <conditionalFormatting sqref="D21">
    <cfRule type="iconSet" priority="1088">
      <iconSet iconSet="3Arrows">
        <cfvo type="percent" val="0"/>
        <cfvo type="formula" val="$E$21"/>
        <cfvo type="formula" val="$E$21" gte="0"/>
      </iconSet>
    </cfRule>
  </conditionalFormatting>
  <conditionalFormatting sqref="D59">
    <cfRule type="iconSet" priority="1087">
      <iconSet iconSet="3Arrows">
        <cfvo type="percent" val="0"/>
        <cfvo type="formula" val="$E$59"/>
        <cfvo type="formula" val="$E$59" gte="0"/>
      </iconSet>
    </cfRule>
  </conditionalFormatting>
  <conditionalFormatting sqref="D50">
    <cfRule type="iconSet" priority="1086">
      <iconSet iconSet="3Arrows">
        <cfvo type="percent" val="0"/>
        <cfvo type="formula" val="$E$50"/>
        <cfvo type="formula" val="$E$50" gte="0"/>
      </iconSet>
    </cfRule>
  </conditionalFormatting>
  <conditionalFormatting sqref="D22">
    <cfRule type="iconSet" priority="1085">
      <iconSet iconSet="3Arrows">
        <cfvo type="percent" val="0"/>
        <cfvo type="formula" val="$E$22"/>
        <cfvo type="formula" val="$E$22" gte="0"/>
      </iconSet>
    </cfRule>
  </conditionalFormatting>
  <conditionalFormatting sqref="D39">
    <cfRule type="iconSet" priority="1084">
      <iconSet iconSet="3Arrows">
        <cfvo type="percent" val="0"/>
        <cfvo type="formula" val="$E$39"/>
        <cfvo type="formula" val="$E$39" gte="0"/>
      </iconSet>
    </cfRule>
  </conditionalFormatting>
  <conditionalFormatting sqref="D51">
    <cfRule type="iconSet" priority="1083">
      <iconSet iconSet="3Arrows">
        <cfvo type="percent" val="0"/>
        <cfvo type="formula" val="$E$51"/>
        <cfvo type="formula" val="$E$51" gte="0"/>
      </iconSet>
    </cfRule>
  </conditionalFormatting>
  <conditionalFormatting sqref="D23">
    <cfRule type="iconSet" priority="1082">
      <iconSet iconSet="3Arrows">
        <cfvo type="percent" val="0"/>
        <cfvo type="formula" val="$E$23"/>
        <cfvo type="formula" val="$E$23" gte="0"/>
      </iconSet>
    </cfRule>
  </conditionalFormatting>
  <conditionalFormatting sqref="D24">
    <cfRule type="iconSet" priority="1081">
      <iconSet iconSet="3Arrows">
        <cfvo type="percent" val="0"/>
        <cfvo type="formula" val="$E$24"/>
        <cfvo type="formula" val="$E$24" gte="0"/>
      </iconSet>
    </cfRule>
  </conditionalFormatting>
  <conditionalFormatting sqref="D25">
    <cfRule type="iconSet" priority="1080">
      <iconSet iconSet="3Arrows">
        <cfvo type="percent" val="0"/>
        <cfvo type="formula" val="$E$25"/>
        <cfvo type="formula" val="$E$25" gte="0"/>
      </iconSet>
    </cfRule>
  </conditionalFormatting>
  <conditionalFormatting sqref="D8">
    <cfRule type="iconSet" priority="1079">
      <iconSet iconSet="3Arrows">
        <cfvo type="percent" val="0"/>
        <cfvo type="formula" val="$E$8"/>
        <cfvo type="formula" val="$E$8" gte="0"/>
      </iconSet>
    </cfRule>
  </conditionalFormatting>
  <conditionalFormatting sqref="D52">
    <cfRule type="iconSet" priority="1078">
      <iconSet iconSet="3Arrows">
        <cfvo type="percent" val="0"/>
        <cfvo type="formula" val="$E$52"/>
        <cfvo type="formula" val="$E$52" gte="0"/>
      </iconSet>
    </cfRule>
  </conditionalFormatting>
  <conditionalFormatting sqref="D53">
    <cfRule type="iconSet" priority="1077">
      <iconSet iconSet="3Arrows">
        <cfvo type="percent" val="0"/>
        <cfvo type="formula" val="$E$53"/>
        <cfvo type="formula" val="$E$53" gte="0"/>
      </iconSet>
    </cfRule>
  </conditionalFormatting>
  <conditionalFormatting sqref="D9">
    <cfRule type="iconSet" priority="1076">
      <iconSet iconSet="3Arrows">
        <cfvo type="percent" val="0"/>
        <cfvo type="formula" val="$E$9"/>
        <cfvo type="formula" val="$E$9" gte="0"/>
      </iconSet>
    </cfRule>
  </conditionalFormatting>
  <conditionalFormatting sqref="D10">
    <cfRule type="iconSet" priority="1075">
      <iconSet iconSet="3Arrows">
        <cfvo type="percent" val="0"/>
        <cfvo type="formula" val="$E$10"/>
        <cfvo type="formula" val="$E$10" gte="0"/>
      </iconSet>
    </cfRule>
  </conditionalFormatting>
  <conditionalFormatting sqref="D26">
    <cfRule type="iconSet" priority="1074">
      <iconSet iconSet="3Arrows">
        <cfvo type="percent" val="0"/>
        <cfvo type="formula" val="$E$26"/>
        <cfvo type="formula" val="$E$26" gte="0"/>
      </iconSet>
    </cfRule>
  </conditionalFormatting>
  <conditionalFormatting sqref="D11">
    <cfRule type="iconSet" priority="1073">
      <iconSet iconSet="3Arrows">
        <cfvo type="percent" val="0"/>
        <cfvo type="formula" val="$E$11"/>
        <cfvo type="formula" val="$E$11" gte="0"/>
      </iconSet>
    </cfRule>
  </conditionalFormatting>
  <conditionalFormatting sqref="D27">
    <cfRule type="iconSet" priority="1072">
      <iconSet iconSet="3Arrows">
        <cfvo type="percent" val="0"/>
        <cfvo type="formula" val="$E$27"/>
        <cfvo type="formula" val="$E$27" gte="0"/>
      </iconSet>
    </cfRule>
  </conditionalFormatting>
  <conditionalFormatting sqref="D40">
    <cfRule type="iconSet" priority="1071">
      <iconSet iconSet="3Arrows">
        <cfvo type="percent" val="0"/>
        <cfvo type="formula" val="$E$40"/>
        <cfvo type="formula" val="$E$40" gte="0"/>
      </iconSet>
    </cfRule>
  </conditionalFormatting>
  <conditionalFormatting sqref="D41">
    <cfRule type="iconSet" priority="1070">
      <iconSet iconSet="3Arrows">
        <cfvo type="percent" val="0"/>
        <cfvo type="formula" val="$E$41"/>
        <cfvo type="formula" val="$E$41" gte="0"/>
      </iconSet>
    </cfRule>
  </conditionalFormatting>
  <conditionalFormatting sqref="D12">
    <cfRule type="iconSet" priority="1069">
      <iconSet iconSet="3Arrows">
        <cfvo type="percent" val="0"/>
        <cfvo type="formula" val="$E$12"/>
        <cfvo type="formula" val="$E$12" gte="0"/>
      </iconSet>
    </cfRule>
  </conditionalFormatting>
  <conditionalFormatting sqref="D13">
    <cfRule type="iconSet" priority="1068">
      <iconSet iconSet="3Arrows">
        <cfvo type="percent" val="0"/>
        <cfvo type="formula" val="$E$13"/>
        <cfvo type="formula" val="$E$13" gte="0"/>
      </iconSet>
    </cfRule>
  </conditionalFormatting>
  <conditionalFormatting sqref="D44">
    <cfRule type="iconSet" priority="1067">
      <iconSet iconSet="3Arrows">
        <cfvo type="percent" val="0"/>
        <cfvo type="formula" val="$E$44"/>
        <cfvo type="formula" val="$E$44" gte="0"/>
      </iconSet>
    </cfRule>
  </conditionalFormatting>
  <conditionalFormatting sqref="D14">
    <cfRule type="iconSet" priority="1066">
      <iconSet iconSet="3Arrows">
        <cfvo type="percent" val="0"/>
        <cfvo type="formula" val="$E$14"/>
        <cfvo type="formula" val="$E$14" gte="0"/>
      </iconSet>
    </cfRule>
  </conditionalFormatting>
  <conditionalFormatting sqref="D45">
    <cfRule type="iconSet" priority="1065">
      <iconSet iconSet="3Arrows">
        <cfvo type="percent" val="0"/>
        <cfvo type="formula" val="$E$45"/>
        <cfvo type="formula" val="$E$45" gte="0"/>
      </iconSet>
    </cfRule>
  </conditionalFormatting>
  <conditionalFormatting sqref="D54">
    <cfRule type="iconSet" priority="1064">
      <iconSet iconSet="3Arrows">
        <cfvo type="percent" val="0"/>
        <cfvo type="formula" val="$E$54"/>
        <cfvo type="formula" val="$E$54" gte="0"/>
      </iconSet>
    </cfRule>
  </conditionalFormatting>
  <conditionalFormatting sqref="D42">
    <cfRule type="iconSet" priority="1063">
      <iconSet iconSet="3Arrows">
        <cfvo type="percent" val="0"/>
        <cfvo type="formula" val="$E$42"/>
        <cfvo type="formula" val="$E$42" gte="0"/>
      </iconSet>
    </cfRule>
  </conditionalFormatting>
  <conditionalFormatting sqref="D15">
    <cfRule type="iconSet" priority="1062">
      <iconSet iconSet="3Arrows">
        <cfvo type="percent" val="0"/>
        <cfvo type="formula" val="$E$15"/>
        <cfvo type="formula" val="$E$15" gte="0"/>
      </iconSet>
    </cfRule>
  </conditionalFormatting>
  <conditionalFormatting sqref="D43">
    <cfRule type="iconSet" priority="1061">
      <iconSet iconSet="3Arrows">
        <cfvo type="percent" val="0"/>
        <cfvo type="formula" val="$E$43"/>
        <cfvo type="formula" val="$E$43" gte="0"/>
      </iconSet>
    </cfRule>
  </conditionalFormatting>
  <conditionalFormatting sqref="D16">
    <cfRule type="iconSet" priority="1060">
      <iconSet iconSet="3Arrows">
        <cfvo type="percent" val="0"/>
        <cfvo type="formula" val="$E$16"/>
        <cfvo type="formula" val="$E$16" gte="0"/>
      </iconSet>
    </cfRule>
  </conditionalFormatting>
  <conditionalFormatting sqref="D17">
    <cfRule type="iconSet" priority="1059">
      <iconSet iconSet="3Arrows">
        <cfvo type="percent" val="0"/>
        <cfvo type="formula" val="$E$17"/>
        <cfvo type="formula" val="$E$17" gte="0"/>
      </iconSet>
    </cfRule>
  </conditionalFormatting>
  <conditionalFormatting sqref="D29">
    <cfRule type="iconSet" priority="1058">
      <iconSet iconSet="3Arrows">
        <cfvo type="percent" val="0"/>
        <cfvo type="formula" val="$E$29"/>
        <cfvo type="formula" val="$E$29" gte="0"/>
      </iconSet>
    </cfRule>
  </conditionalFormatting>
  <conditionalFormatting sqref="D55">
    <cfRule type="iconSet" priority="1057">
      <iconSet iconSet="3Arrows">
        <cfvo type="percent" val="0"/>
        <cfvo type="formula" val="$E$55"/>
        <cfvo type="formula" val="$E$55" gte="0"/>
      </iconSet>
    </cfRule>
  </conditionalFormatting>
  <conditionalFormatting sqref="D28">
    <cfRule type="iconSet" priority="1056">
      <iconSet iconSet="3Arrows">
        <cfvo type="percent" val="0"/>
        <cfvo type="formula" val="$E$28"/>
        <cfvo type="formula" val="$E$28" gte="0"/>
      </iconSet>
    </cfRule>
  </conditionalFormatting>
  <conditionalFormatting sqref="D18">
    <cfRule type="iconSet" priority="1055">
      <iconSet iconSet="3Arrows">
        <cfvo type="percent" val="0"/>
        <cfvo type="formula" val="$E$18"/>
        <cfvo type="formula" val="$E$18" gte="0"/>
      </iconSet>
    </cfRule>
  </conditionalFormatting>
  <conditionalFormatting sqref="D56">
    <cfRule type="iconSet" priority="1054">
      <iconSet iconSet="3Arrows">
        <cfvo type="percent" val="0"/>
        <cfvo type="formula" val="$E$56"/>
        <cfvo type="formula" val="$E$56" gte="0"/>
      </iconSet>
    </cfRule>
  </conditionalFormatting>
  <conditionalFormatting sqref="D30">
    <cfRule type="iconSet" priority="1053">
      <iconSet iconSet="3Arrows">
        <cfvo type="percent" val="0"/>
        <cfvo type="formula" val="$E$30"/>
        <cfvo type="formula" val="$E$30" gte="0"/>
      </iconSet>
    </cfRule>
  </conditionalFormatting>
  <conditionalFormatting sqref="D31">
    <cfRule type="iconSet" priority="1052">
      <iconSet iconSet="3Arrows">
        <cfvo type="percent" val="0"/>
        <cfvo type="formula" val="$E$31"/>
        <cfvo type="formula" val="$E$31" gte="0"/>
      </iconSet>
    </cfRule>
  </conditionalFormatting>
  <conditionalFormatting sqref="D46">
    <cfRule type="iconSet" priority="1051">
      <iconSet iconSet="3Arrows">
        <cfvo type="percent" val="0"/>
        <cfvo type="formula" val="$E$46"/>
        <cfvo type="formula" val="$E$46" gte="0"/>
      </iconSet>
    </cfRule>
  </conditionalFormatting>
  <conditionalFormatting sqref="D47">
    <cfRule type="iconSet" priority="1050">
      <iconSet iconSet="3Arrows">
        <cfvo type="percent" val="0"/>
        <cfvo type="formula" val="$E$47"/>
        <cfvo type="formula" val="$E$47" gte="0"/>
      </iconSet>
    </cfRule>
  </conditionalFormatting>
  <conditionalFormatting sqref="D32">
    <cfRule type="iconSet" priority="1049">
      <iconSet iconSet="3Arrows">
        <cfvo type="percent" val="0"/>
        <cfvo type="formula" val="$E$32"/>
        <cfvo type="formula" val="$E$32" gte="0"/>
      </iconSet>
    </cfRule>
  </conditionalFormatting>
  <conditionalFormatting sqref="D60">
    <cfRule type="iconSet" priority="1048">
      <iconSet iconSet="3Arrows">
        <cfvo type="percent" val="0"/>
        <cfvo type="formula" val="$E$60"/>
        <cfvo type="formula" val="$E$60" gte="0"/>
      </iconSet>
    </cfRule>
  </conditionalFormatting>
  <conditionalFormatting sqref="D61">
    <cfRule type="iconSet" priority="1047">
      <iconSet iconSet="3Arrows">
        <cfvo type="percent" val="0"/>
        <cfvo type="formula" val="$E$61"/>
        <cfvo type="formula" val="$E$61" gte="0"/>
      </iconSet>
    </cfRule>
  </conditionalFormatting>
  <conditionalFormatting sqref="D57">
    <cfRule type="iconSet" priority="1046">
      <iconSet iconSet="3Arrows">
        <cfvo type="percent" val="0"/>
        <cfvo type="formula" val="$E$57"/>
        <cfvo type="formula" val="$E$57" gte="0"/>
      </iconSet>
    </cfRule>
  </conditionalFormatting>
  <conditionalFormatting sqref="D33">
    <cfRule type="iconSet" priority="1045">
      <iconSet iconSet="3Arrows">
        <cfvo type="percent" val="0"/>
        <cfvo type="formula" val="$E$33"/>
        <cfvo type="formula" val="$E$33" gte="0"/>
      </iconSet>
    </cfRule>
  </conditionalFormatting>
  <conditionalFormatting sqref="D34">
    <cfRule type="iconSet" priority="1044">
      <iconSet iconSet="3Arrows">
        <cfvo type="percent" val="0"/>
        <cfvo type="formula" val="$E$34"/>
        <cfvo type="formula" val="$E$34" gte="0"/>
      </iconSet>
    </cfRule>
  </conditionalFormatting>
  <conditionalFormatting sqref="D48">
    <cfRule type="iconSet" priority="1043">
      <iconSet iconSet="3Arrows">
        <cfvo type="percent" val="0"/>
        <cfvo type="formula" val="$E$48"/>
        <cfvo type="formula" val="$E$48" gte="0"/>
      </iconSet>
    </cfRule>
  </conditionalFormatting>
  <conditionalFormatting sqref="D19">
    <cfRule type="iconSet" priority="1042">
      <iconSet iconSet="3Arrows">
        <cfvo type="percent" val="0"/>
        <cfvo type="formula" val="$E$19"/>
        <cfvo type="formula" val="$E$19" gte="0"/>
      </iconSet>
    </cfRule>
  </conditionalFormatting>
  <conditionalFormatting sqref="D35">
    <cfRule type="iconSet" priority="1041">
      <iconSet iconSet="3Arrows">
        <cfvo type="percent" val="0"/>
        <cfvo type="formula" val="$E$35"/>
        <cfvo type="formula" val="$E$35" gte="0"/>
      </iconSet>
    </cfRule>
  </conditionalFormatting>
  <conditionalFormatting sqref="D62">
    <cfRule type="iconSet" priority="1040">
      <iconSet iconSet="3Arrows">
        <cfvo type="percent" val="0"/>
        <cfvo type="formula" val="$E$62"/>
        <cfvo type="formula" val="$E$62" gte="0"/>
      </iconSet>
    </cfRule>
  </conditionalFormatting>
  <conditionalFormatting sqref="D36">
    <cfRule type="iconSet" priority="1039">
      <iconSet iconSet="3Arrows">
        <cfvo type="percent" val="0"/>
        <cfvo type="formula" val="$E$36"/>
        <cfvo type="formula" val="$E$36" gte="0"/>
      </iconSet>
    </cfRule>
  </conditionalFormatting>
  <conditionalFormatting sqref="D69">
    <cfRule type="iconSet" priority="1038">
      <iconSet iconSet="3Arrows">
        <cfvo type="percent" val="0"/>
        <cfvo type="formula" val="$E$69"/>
        <cfvo type="formula" val="$E$69" gte="0"/>
      </iconSet>
    </cfRule>
  </conditionalFormatting>
  <conditionalFormatting sqref="D70">
    <cfRule type="iconSet" priority="1037">
      <iconSet iconSet="3Arrows">
        <cfvo type="percent" val="0"/>
        <cfvo type="formula" val="$E$70"/>
        <cfvo type="formula" val="$E$70" gte="0"/>
      </iconSet>
    </cfRule>
  </conditionalFormatting>
  <conditionalFormatting sqref="D71">
    <cfRule type="iconSet" priority="1036">
      <iconSet iconSet="3Arrows">
        <cfvo type="percent" val="0"/>
        <cfvo type="formula" val="$E$71"/>
        <cfvo type="formula" val="$E$71" gte="0"/>
      </iconSet>
    </cfRule>
  </conditionalFormatting>
  <conditionalFormatting sqref="D72">
    <cfRule type="iconSet" priority="1035">
      <iconSet iconSet="3Arrows">
        <cfvo type="percent" val="0"/>
        <cfvo type="formula" val="$E$72"/>
        <cfvo type="formula" val="$E$72" gte="0"/>
      </iconSet>
    </cfRule>
  </conditionalFormatting>
  <conditionalFormatting sqref="D73">
    <cfRule type="iconSet" priority="1034">
      <iconSet iconSet="3Arrows">
        <cfvo type="percent" val="0"/>
        <cfvo type="formula" val="$E$73"/>
        <cfvo type="formula" val="$E$73" gte="0"/>
      </iconSet>
    </cfRule>
  </conditionalFormatting>
  <conditionalFormatting sqref="G6">
    <cfRule type="iconSet" priority="1033">
      <iconSet iconSet="3Arrows">
        <cfvo type="percent" val="0"/>
        <cfvo type="formula" val="$H$6"/>
        <cfvo type="formula" val="$H$6" gte="0"/>
      </iconSet>
    </cfRule>
  </conditionalFormatting>
  <conditionalFormatting sqref="G37">
    <cfRule type="iconSet" priority="1032">
      <iconSet iconSet="3Arrows">
        <cfvo type="percent" val="0"/>
        <cfvo type="formula" val="$H$37"/>
        <cfvo type="formula" val="$H$37" gte="0"/>
      </iconSet>
    </cfRule>
  </conditionalFormatting>
  <conditionalFormatting sqref="G20">
    <cfRule type="iconSet" priority="1031">
      <iconSet iconSet="3Arrows">
        <cfvo type="percent" val="0"/>
        <cfvo type="formula" val="$H$20"/>
        <cfvo type="formula" val="$H$20" gte="0"/>
      </iconSet>
    </cfRule>
  </conditionalFormatting>
  <conditionalFormatting sqref="G38">
    <cfRule type="iconSet" priority="1030">
      <iconSet iconSet="3Arrows">
        <cfvo type="percent" val="0"/>
        <cfvo type="formula" val="$H$38"/>
        <cfvo type="formula" val="$H$38" gte="0"/>
      </iconSet>
    </cfRule>
  </conditionalFormatting>
  <conditionalFormatting sqref="G49">
    <cfRule type="iconSet" priority="1029">
      <iconSet iconSet="3Arrows">
        <cfvo type="percent" val="0"/>
        <cfvo type="formula" val="$H$49"/>
        <cfvo type="formula" val="$H$49" gte="0"/>
      </iconSet>
    </cfRule>
  </conditionalFormatting>
  <conditionalFormatting sqref="G58">
    <cfRule type="iconSet" priority="1028">
      <iconSet iconSet="3Arrows">
        <cfvo type="percent" val="0"/>
        <cfvo type="formula" val="$H$58"/>
        <cfvo type="formula" val="$H$58" gte="0"/>
      </iconSet>
    </cfRule>
  </conditionalFormatting>
  <conditionalFormatting sqref="G7">
    <cfRule type="iconSet" priority="1027">
      <iconSet iconSet="3Arrows">
        <cfvo type="percent" val="0"/>
        <cfvo type="formula" val="$H$7"/>
        <cfvo type="formula" val="$H$7" gte="0"/>
      </iconSet>
    </cfRule>
  </conditionalFormatting>
  <conditionalFormatting sqref="G21">
    <cfRule type="iconSet" priority="1026">
      <iconSet iconSet="3Arrows">
        <cfvo type="percent" val="0"/>
        <cfvo type="formula" val="$H$21"/>
        <cfvo type="formula" val="$H$21" gte="0"/>
      </iconSet>
    </cfRule>
  </conditionalFormatting>
  <conditionalFormatting sqref="G59">
    <cfRule type="iconSet" priority="1025">
      <iconSet iconSet="3Arrows">
        <cfvo type="percent" val="0"/>
        <cfvo type="formula" val="$H$59"/>
        <cfvo type="formula" val="$H$59" gte="0"/>
      </iconSet>
    </cfRule>
  </conditionalFormatting>
  <conditionalFormatting sqref="G50">
    <cfRule type="iconSet" priority="1024">
      <iconSet iconSet="3Arrows">
        <cfvo type="percent" val="0"/>
        <cfvo type="formula" val="$H$50"/>
        <cfvo type="formula" val="$H$50" gte="0"/>
      </iconSet>
    </cfRule>
  </conditionalFormatting>
  <conditionalFormatting sqref="G22">
    <cfRule type="iconSet" priority="1023">
      <iconSet iconSet="3Arrows">
        <cfvo type="percent" val="0"/>
        <cfvo type="formula" val="$H$22"/>
        <cfvo type="formula" val="$H$22" gte="0"/>
      </iconSet>
    </cfRule>
  </conditionalFormatting>
  <conditionalFormatting sqref="G39">
    <cfRule type="iconSet" priority="1022">
      <iconSet iconSet="3Arrows">
        <cfvo type="percent" val="0"/>
        <cfvo type="formula" val="$H$39"/>
        <cfvo type="formula" val="$H$39" gte="0"/>
      </iconSet>
    </cfRule>
  </conditionalFormatting>
  <conditionalFormatting sqref="G51">
    <cfRule type="iconSet" priority="1021">
      <iconSet iconSet="3Arrows">
        <cfvo type="percent" val="0"/>
        <cfvo type="formula" val="$H$51"/>
        <cfvo type="formula" val="$H$51" gte="0"/>
      </iconSet>
    </cfRule>
  </conditionalFormatting>
  <conditionalFormatting sqref="G23">
    <cfRule type="iconSet" priority="1020">
      <iconSet iconSet="3Arrows">
        <cfvo type="percent" val="0"/>
        <cfvo type="formula" val="$H$23"/>
        <cfvo type="formula" val="$H$23" gte="0"/>
      </iconSet>
    </cfRule>
  </conditionalFormatting>
  <conditionalFormatting sqref="G24">
    <cfRule type="iconSet" priority="1019">
      <iconSet iconSet="3Arrows">
        <cfvo type="percent" val="0"/>
        <cfvo type="formula" val="$H$24"/>
        <cfvo type="formula" val="$H$24" gte="0"/>
      </iconSet>
    </cfRule>
  </conditionalFormatting>
  <conditionalFormatting sqref="G25">
    <cfRule type="iconSet" priority="1018">
      <iconSet iconSet="3Arrows">
        <cfvo type="percent" val="0"/>
        <cfvo type="formula" val="$H$25"/>
        <cfvo type="formula" val="$H$25" gte="0"/>
      </iconSet>
    </cfRule>
  </conditionalFormatting>
  <conditionalFormatting sqref="G8">
    <cfRule type="iconSet" priority="1017">
      <iconSet iconSet="3Arrows">
        <cfvo type="percent" val="0"/>
        <cfvo type="formula" val="$H$8"/>
        <cfvo type="formula" val="$H$8" gte="0"/>
      </iconSet>
    </cfRule>
  </conditionalFormatting>
  <conditionalFormatting sqref="G52">
    <cfRule type="iconSet" priority="1016">
      <iconSet iconSet="3Arrows">
        <cfvo type="percent" val="0"/>
        <cfvo type="formula" val="$H$52"/>
        <cfvo type="formula" val="$H$52" gte="0"/>
      </iconSet>
    </cfRule>
  </conditionalFormatting>
  <conditionalFormatting sqref="G53">
    <cfRule type="iconSet" priority="1015">
      <iconSet iconSet="3Arrows">
        <cfvo type="percent" val="0"/>
        <cfvo type="formula" val="$H$53"/>
        <cfvo type="formula" val="$H$53" gte="0"/>
      </iconSet>
    </cfRule>
  </conditionalFormatting>
  <conditionalFormatting sqref="G9">
    <cfRule type="iconSet" priority="1014">
      <iconSet iconSet="3Arrows">
        <cfvo type="percent" val="0"/>
        <cfvo type="formula" val="$H$9"/>
        <cfvo type="formula" val="$H$9" gte="0"/>
      </iconSet>
    </cfRule>
  </conditionalFormatting>
  <conditionalFormatting sqref="G10">
    <cfRule type="iconSet" priority="1013">
      <iconSet iconSet="3Arrows">
        <cfvo type="percent" val="0"/>
        <cfvo type="formula" val="$H$10"/>
        <cfvo type="formula" val="$H$10" gte="0"/>
      </iconSet>
    </cfRule>
  </conditionalFormatting>
  <conditionalFormatting sqref="G26">
    <cfRule type="iconSet" priority="1012">
      <iconSet iconSet="3Arrows">
        <cfvo type="percent" val="0"/>
        <cfvo type="formula" val="$H$26"/>
        <cfvo type="formula" val="$H$26" gte="0"/>
      </iconSet>
    </cfRule>
  </conditionalFormatting>
  <conditionalFormatting sqref="G11">
    <cfRule type="iconSet" priority="1011">
      <iconSet iconSet="3Arrows">
        <cfvo type="percent" val="0"/>
        <cfvo type="formula" val="$H$11"/>
        <cfvo type="formula" val="$H$11" gte="0"/>
      </iconSet>
    </cfRule>
  </conditionalFormatting>
  <conditionalFormatting sqref="G27">
    <cfRule type="iconSet" priority="1010">
      <iconSet iconSet="3Arrows">
        <cfvo type="percent" val="0"/>
        <cfvo type="formula" val="$H$27"/>
        <cfvo type="formula" val="$H$27" gte="0"/>
      </iconSet>
    </cfRule>
  </conditionalFormatting>
  <conditionalFormatting sqref="G40">
    <cfRule type="iconSet" priority="1009">
      <iconSet iconSet="3Arrows">
        <cfvo type="percent" val="0"/>
        <cfvo type="formula" val="$H$40"/>
        <cfvo type="formula" val="$H$40" gte="0"/>
      </iconSet>
    </cfRule>
  </conditionalFormatting>
  <conditionalFormatting sqref="G41">
    <cfRule type="iconSet" priority="1008">
      <iconSet iconSet="3Arrows">
        <cfvo type="percent" val="0"/>
        <cfvo type="formula" val="$H$41"/>
        <cfvo type="formula" val="$H$41" gte="0"/>
      </iconSet>
    </cfRule>
  </conditionalFormatting>
  <conditionalFormatting sqref="G12">
    <cfRule type="iconSet" priority="1007">
      <iconSet iconSet="3Arrows">
        <cfvo type="percent" val="0"/>
        <cfvo type="formula" val="$H$12"/>
        <cfvo type="formula" val="$H$12" gte="0"/>
      </iconSet>
    </cfRule>
  </conditionalFormatting>
  <conditionalFormatting sqref="G13">
    <cfRule type="iconSet" priority="1006">
      <iconSet iconSet="3Arrows">
        <cfvo type="percent" val="0"/>
        <cfvo type="formula" val="$H$13"/>
        <cfvo type="formula" val="$H$13" gte="0"/>
      </iconSet>
    </cfRule>
  </conditionalFormatting>
  <conditionalFormatting sqref="G44">
    <cfRule type="iconSet" priority="1005">
      <iconSet iconSet="3Arrows">
        <cfvo type="percent" val="0"/>
        <cfvo type="formula" val="$H$44"/>
        <cfvo type="formula" val="$H$44" gte="0"/>
      </iconSet>
    </cfRule>
  </conditionalFormatting>
  <conditionalFormatting sqref="G14">
    <cfRule type="iconSet" priority="1004">
      <iconSet iconSet="3Arrows">
        <cfvo type="percent" val="0"/>
        <cfvo type="formula" val="$H$14"/>
        <cfvo type="formula" val="$H$14" gte="0"/>
      </iconSet>
    </cfRule>
  </conditionalFormatting>
  <conditionalFormatting sqref="G45">
    <cfRule type="iconSet" priority="1003">
      <iconSet iconSet="3Arrows">
        <cfvo type="percent" val="0"/>
        <cfvo type="formula" val="$H$45"/>
        <cfvo type="formula" val="$H$45" gte="0"/>
      </iconSet>
    </cfRule>
  </conditionalFormatting>
  <conditionalFormatting sqref="G54">
    <cfRule type="iconSet" priority="1002">
      <iconSet iconSet="3Arrows">
        <cfvo type="percent" val="0"/>
        <cfvo type="formula" val="$H$54"/>
        <cfvo type="formula" val="$H$54" gte="0"/>
      </iconSet>
    </cfRule>
  </conditionalFormatting>
  <conditionalFormatting sqref="G42">
    <cfRule type="iconSet" priority="1001">
      <iconSet iconSet="3Arrows">
        <cfvo type="percent" val="0"/>
        <cfvo type="formula" val="$H$42"/>
        <cfvo type="formula" val="$H$42" gte="0"/>
      </iconSet>
    </cfRule>
  </conditionalFormatting>
  <conditionalFormatting sqref="G15">
    <cfRule type="iconSet" priority="1000">
      <iconSet iconSet="3Arrows">
        <cfvo type="percent" val="0"/>
        <cfvo type="formula" val="$H$15"/>
        <cfvo type="formula" val="$H$15" gte="0"/>
      </iconSet>
    </cfRule>
  </conditionalFormatting>
  <conditionalFormatting sqref="G43">
    <cfRule type="iconSet" priority="999">
      <iconSet iconSet="3Arrows">
        <cfvo type="percent" val="0"/>
        <cfvo type="formula" val="$H$43"/>
        <cfvo type="formula" val="$H$43" gte="0"/>
      </iconSet>
    </cfRule>
  </conditionalFormatting>
  <conditionalFormatting sqref="G16">
    <cfRule type="iconSet" priority="998">
      <iconSet iconSet="3Arrows">
        <cfvo type="percent" val="0"/>
        <cfvo type="formula" val="$H$16"/>
        <cfvo type="formula" val="$H$16" gte="0"/>
      </iconSet>
    </cfRule>
  </conditionalFormatting>
  <conditionalFormatting sqref="G17">
    <cfRule type="iconSet" priority="997">
      <iconSet iconSet="3Arrows">
        <cfvo type="percent" val="0"/>
        <cfvo type="formula" val="$H$17"/>
        <cfvo type="formula" val="$H$17" gte="0"/>
      </iconSet>
    </cfRule>
  </conditionalFormatting>
  <conditionalFormatting sqref="G29">
    <cfRule type="iconSet" priority="996">
      <iconSet iconSet="3Arrows">
        <cfvo type="percent" val="0"/>
        <cfvo type="formula" val="$H$29"/>
        <cfvo type="formula" val="$H$29" gte="0"/>
      </iconSet>
    </cfRule>
  </conditionalFormatting>
  <conditionalFormatting sqref="G55">
    <cfRule type="iconSet" priority="995">
      <iconSet iconSet="3Arrows">
        <cfvo type="percent" val="0"/>
        <cfvo type="formula" val="$H$55"/>
        <cfvo type="formula" val="$H$55" gte="0"/>
      </iconSet>
    </cfRule>
  </conditionalFormatting>
  <conditionalFormatting sqref="G28">
    <cfRule type="iconSet" priority="994">
      <iconSet iconSet="3Arrows">
        <cfvo type="percent" val="0"/>
        <cfvo type="formula" val="$H$28"/>
        <cfvo type="formula" val="$H$28" gte="0"/>
      </iconSet>
    </cfRule>
  </conditionalFormatting>
  <conditionalFormatting sqref="G18">
    <cfRule type="iconSet" priority="993">
      <iconSet iconSet="3Arrows">
        <cfvo type="percent" val="0"/>
        <cfvo type="formula" val="$H$18"/>
        <cfvo type="formula" val="$H$18" gte="0"/>
      </iconSet>
    </cfRule>
  </conditionalFormatting>
  <conditionalFormatting sqref="G56">
    <cfRule type="iconSet" priority="992">
      <iconSet iconSet="3Arrows">
        <cfvo type="percent" val="0"/>
        <cfvo type="formula" val="$H$56"/>
        <cfvo type="formula" val="$H$56" gte="0"/>
      </iconSet>
    </cfRule>
  </conditionalFormatting>
  <conditionalFormatting sqref="G30">
    <cfRule type="iconSet" priority="991">
      <iconSet iconSet="3Arrows">
        <cfvo type="percent" val="0"/>
        <cfvo type="formula" val="$H$30"/>
        <cfvo type="formula" val="$H$30" gte="0"/>
      </iconSet>
    </cfRule>
  </conditionalFormatting>
  <conditionalFormatting sqref="G31">
    <cfRule type="iconSet" priority="990">
      <iconSet iconSet="3Arrows">
        <cfvo type="percent" val="0"/>
        <cfvo type="formula" val="$H$31"/>
        <cfvo type="formula" val="$H$31" gte="0"/>
      </iconSet>
    </cfRule>
  </conditionalFormatting>
  <conditionalFormatting sqref="G46">
    <cfRule type="iconSet" priority="989">
      <iconSet iconSet="3Arrows">
        <cfvo type="percent" val="0"/>
        <cfvo type="formula" val="$H$46"/>
        <cfvo type="formula" val="$H$46" gte="0"/>
      </iconSet>
    </cfRule>
  </conditionalFormatting>
  <conditionalFormatting sqref="G47">
    <cfRule type="iconSet" priority="988">
      <iconSet iconSet="3Arrows">
        <cfvo type="percent" val="0"/>
        <cfvo type="formula" val="$H$47"/>
        <cfvo type="formula" val="$H$47" gte="0"/>
      </iconSet>
    </cfRule>
  </conditionalFormatting>
  <conditionalFormatting sqref="G32">
    <cfRule type="iconSet" priority="987">
      <iconSet iconSet="3Arrows">
        <cfvo type="percent" val="0"/>
        <cfvo type="formula" val="$H$32"/>
        <cfvo type="formula" val="$H$32" gte="0"/>
      </iconSet>
    </cfRule>
  </conditionalFormatting>
  <conditionalFormatting sqref="G60">
    <cfRule type="iconSet" priority="986">
      <iconSet iconSet="3Arrows">
        <cfvo type="percent" val="0"/>
        <cfvo type="formula" val="$H$60"/>
        <cfvo type="formula" val="$H$60" gte="0"/>
      </iconSet>
    </cfRule>
  </conditionalFormatting>
  <conditionalFormatting sqref="G61">
    <cfRule type="iconSet" priority="985">
      <iconSet iconSet="3Arrows">
        <cfvo type="percent" val="0"/>
        <cfvo type="formula" val="$H$61"/>
        <cfvo type="formula" val="$H$61" gte="0"/>
      </iconSet>
    </cfRule>
  </conditionalFormatting>
  <conditionalFormatting sqref="G57">
    <cfRule type="iconSet" priority="984">
      <iconSet iconSet="3Arrows">
        <cfvo type="percent" val="0"/>
        <cfvo type="formula" val="$H$57"/>
        <cfvo type="formula" val="$H$57" gte="0"/>
      </iconSet>
    </cfRule>
  </conditionalFormatting>
  <conditionalFormatting sqref="G33">
    <cfRule type="iconSet" priority="983">
      <iconSet iconSet="3Arrows">
        <cfvo type="percent" val="0"/>
        <cfvo type="formula" val="$H$33"/>
        <cfvo type="formula" val="$H$33" gte="0"/>
      </iconSet>
    </cfRule>
  </conditionalFormatting>
  <conditionalFormatting sqref="G34">
    <cfRule type="iconSet" priority="982">
      <iconSet iconSet="3Arrows">
        <cfvo type="percent" val="0"/>
        <cfvo type="formula" val="$H$34"/>
        <cfvo type="formula" val="$H$34" gte="0"/>
      </iconSet>
    </cfRule>
  </conditionalFormatting>
  <conditionalFormatting sqref="G48">
    <cfRule type="iconSet" priority="981">
      <iconSet iconSet="3Arrows">
        <cfvo type="percent" val="0"/>
        <cfvo type="formula" val="$H$48"/>
        <cfvo type="formula" val="$H$48" gte="0"/>
      </iconSet>
    </cfRule>
  </conditionalFormatting>
  <conditionalFormatting sqref="G19">
    <cfRule type="iconSet" priority="980">
      <iconSet iconSet="3Arrows">
        <cfvo type="percent" val="0"/>
        <cfvo type="formula" val="$H$19"/>
        <cfvo type="formula" val="$H$19" gte="0"/>
      </iconSet>
    </cfRule>
  </conditionalFormatting>
  <conditionalFormatting sqref="G35">
    <cfRule type="iconSet" priority="979">
      <iconSet iconSet="3Arrows">
        <cfvo type="percent" val="0"/>
        <cfvo type="formula" val="$H$35"/>
        <cfvo type="formula" val="$H$35" gte="0"/>
      </iconSet>
    </cfRule>
  </conditionalFormatting>
  <conditionalFormatting sqref="G62">
    <cfRule type="iconSet" priority="978">
      <iconSet iconSet="3Arrows">
        <cfvo type="percent" val="0"/>
        <cfvo type="formula" val="$H$62"/>
        <cfvo type="formula" val="$H$62" gte="0"/>
      </iconSet>
    </cfRule>
  </conditionalFormatting>
  <conditionalFormatting sqref="G36">
    <cfRule type="iconSet" priority="977">
      <iconSet iconSet="3Arrows">
        <cfvo type="percent" val="0"/>
        <cfvo type="formula" val="$H$36"/>
        <cfvo type="formula" val="$H$36" gte="0"/>
      </iconSet>
    </cfRule>
  </conditionalFormatting>
  <conditionalFormatting sqref="G69">
    <cfRule type="iconSet" priority="976">
      <iconSet iconSet="3Arrows">
        <cfvo type="percent" val="0"/>
        <cfvo type="formula" val="$H$69"/>
        <cfvo type="formula" val="$H$69" gte="0"/>
      </iconSet>
    </cfRule>
  </conditionalFormatting>
  <conditionalFormatting sqref="G70">
    <cfRule type="iconSet" priority="975">
      <iconSet iconSet="3Arrows">
        <cfvo type="percent" val="0"/>
        <cfvo type="formula" val="$H$70"/>
        <cfvo type="formula" val="$H$70" gte="0"/>
      </iconSet>
    </cfRule>
  </conditionalFormatting>
  <conditionalFormatting sqref="G71">
    <cfRule type="iconSet" priority="974">
      <iconSet iconSet="3Arrows">
        <cfvo type="percent" val="0"/>
        <cfvo type="formula" val="$H$71"/>
        <cfvo type="formula" val="$H$71" gte="0"/>
      </iconSet>
    </cfRule>
  </conditionalFormatting>
  <conditionalFormatting sqref="G72">
    <cfRule type="iconSet" priority="973">
      <iconSet iconSet="3Arrows">
        <cfvo type="percent" val="0"/>
        <cfvo type="formula" val="$H$72"/>
        <cfvo type="formula" val="$H$72" gte="0"/>
      </iconSet>
    </cfRule>
  </conditionalFormatting>
  <conditionalFormatting sqref="G73">
    <cfRule type="iconSet" priority="972">
      <iconSet iconSet="3Arrows">
        <cfvo type="percent" val="0"/>
        <cfvo type="formula" val="$H$73"/>
        <cfvo type="formula" val="$H$73" gte="0"/>
      </iconSet>
    </cfRule>
  </conditionalFormatting>
  <conditionalFormatting sqref="T6">
    <cfRule type="iconSet" priority="969">
      <iconSet reverse="1">
        <cfvo type="percent" val="0"/>
        <cfvo type="formula" val="$U$6"/>
        <cfvo type="formula" val="$U$6" gte="0"/>
      </iconSet>
    </cfRule>
  </conditionalFormatting>
  <conditionalFormatting sqref="T37">
    <cfRule type="iconSet" priority="968">
      <iconSet reverse="1">
        <cfvo type="percent" val="0"/>
        <cfvo type="formula" val="$U$37"/>
        <cfvo type="formula" val="$U$37" gte="0"/>
      </iconSet>
    </cfRule>
  </conditionalFormatting>
  <conditionalFormatting sqref="T20">
    <cfRule type="iconSet" priority="967">
      <iconSet reverse="1">
        <cfvo type="percent" val="0"/>
        <cfvo type="formula" val="$U$20"/>
        <cfvo type="formula" val="$U$20" gte="0"/>
      </iconSet>
    </cfRule>
  </conditionalFormatting>
  <conditionalFormatting sqref="T38">
    <cfRule type="iconSet" priority="966">
      <iconSet reverse="1">
        <cfvo type="percent" val="0"/>
        <cfvo type="formula" val="$U$38"/>
        <cfvo type="formula" val="$U$38" gte="0"/>
      </iconSet>
    </cfRule>
  </conditionalFormatting>
  <conditionalFormatting sqref="T49">
    <cfRule type="iconSet" priority="965">
      <iconSet reverse="1">
        <cfvo type="percent" val="0"/>
        <cfvo type="formula" val="$U$49"/>
        <cfvo type="formula" val="$U$49" gte="0"/>
      </iconSet>
    </cfRule>
  </conditionalFormatting>
  <conditionalFormatting sqref="T58">
    <cfRule type="iconSet" priority="964">
      <iconSet reverse="1">
        <cfvo type="percent" val="0"/>
        <cfvo type="formula" val="$U$58"/>
        <cfvo type="formula" val="$U$58" gte="0"/>
      </iconSet>
    </cfRule>
  </conditionalFormatting>
  <conditionalFormatting sqref="T7">
    <cfRule type="iconSet" priority="963">
      <iconSet reverse="1">
        <cfvo type="percent" val="0"/>
        <cfvo type="formula" val="$U$7"/>
        <cfvo type="formula" val="$U$7" gte="0"/>
      </iconSet>
    </cfRule>
  </conditionalFormatting>
  <conditionalFormatting sqref="T21">
    <cfRule type="iconSet" priority="962">
      <iconSet reverse="1">
        <cfvo type="percent" val="0"/>
        <cfvo type="formula" val="$U$21"/>
        <cfvo type="formula" val="$U$21" gte="0"/>
      </iconSet>
    </cfRule>
  </conditionalFormatting>
  <conditionalFormatting sqref="T59">
    <cfRule type="iconSet" priority="961">
      <iconSet reverse="1">
        <cfvo type="percent" val="0"/>
        <cfvo type="formula" val="$U$59"/>
        <cfvo type="formula" val="$U$59" gte="0"/>
      </iconSet>
    </cfRule>
  </conditionalFormatting>
  <conditionalFormatting sqref="T50">
    <cfRule type="iconSet" priority="960">
      <iconSet reverse="1">
        <cfvo type="percent" val="0"/>
        <cfvo type="formula" val="$U$50"/>
        <cfvo type="formula" val="$U$50" gte="0"/>
      </iconSet>
    </cfRule>
  </conditionalFormatting>
  <conditionalFormatting sqref="T22">
    <cfRule type="iconSet" priority="959">
      <iconSet reverse="1">
        <cfvo type="percent" val="0"/>
        <cfvo type="formula" val="$U$22"/>
        <cfvo type="formula" val="$U$22" gte="0"/>
      </iconSet>
    </cfRule>
  </conditionalFormatting>
  <conditionalFormatting sqref="T39">
    <cfRule type="iconSet" priority="958">
      <iconSet reverse="1">
        <cfvo type="percent" val="0"/>
        <cfvo type="formula" val="$U$39"/>
        <cfvo type="formula" val="$U$39" gte="0"/>
      </iconSet>
    </cfRule>
  </conditionalFormatting>
  <conditionalFormatting sqref="T51">
    <cfRule type="iconSet" priority="957">
      <iconSet reverse="1">
        <cfvo type="percent" val="0"/>
        <cfvo type="formula" val="$U$51"/>
        <cfvo type="formula" val="$U$51" gte="0"/>
      </iconSet>
    </cfRule>
  </conditionalFormatting>
  <conditionalFormatting sqref="T23">
    <cfRule type="iconSet" priority="956">
      <iconSet reverse="1">
        <cfvo type="percent" val="0"/>
        <cfvo type="formula" val="$U$23"/>
        <cfvo type="formula" val="$U$23" gte="0"/>
      </iconSet>
    </cfRule>
  </conditionalFormatting>
  <conditionalFormatting sqref="T24">
    <cfRule type="iconSet" priority="955">
      <iconSet reverse="1">
        <cfvo type="percent" val="0"/>
        <cfvo type="formula" val="$U$24"/>
        <cfvo type="formula" val="$U$24" gte="0"/>
      </iconSet>
    </cfRule>
  </conditionalFormatting>
  <conditionalFormatting sqref="T25">
    <cfRule type="iconSet" priority="954">
      <iconSet reverse="1">
        <cfvo type="percent" val="0"/>
        <cfvo type="formula" val="$U$25"/>
        <cfvo type="formula" val="$U$25" gte="0"/>
      </iconSet>
    </cfRule>
  </conditionalFormatting>
  <conditionalFormatting sqref="T8">
    <cfRule type="iconSet" priority="953">
      <iconSet reverse="1">
        <cfvo type="percent" val="0"/>
        <cfvo type="formula" val="$U$8"/>
        <cfvo type="formula" val="$U$8" gte="0"/>
      </iconSet>
    </cfRule>
  </conditionalFormatting>
  <conditionalFormatting sqref="T52">
    <cfRule type="iconSet" priority="952">
      <iconSet reverse="1">
        <cfvo type="percent" val="0"/>
        <cfvo type="formula" val="$U$52"/>
        <cfvo type="formula" val="$U$52" gte="0"/>
      </iconSet>
    </cfRule>
  </conditionalFormatting>
  <conditionalFormatting sqref="T53">
    <cfRule type="iconSet" priority="951">
      <iconSet reverse="1">
        <cfvo type="percent" val="0"/>
        <cfvo type="formula" val="$U$53"/>
        <cfvo type="formula" val="$U$53" gte="0"/>
      </iconSet>
    </cfRule>
  </conditionalFormatting>
  <conditionalFormatting sqref="T9">
    <cfRule type="iconSet" priority="950">
      <iconSet reverse="1">
        <cfvo type="percent" val="0"/>
        <cfvo type="formula" val="$U$9"/>
        <cfvo type="formula" val="$U$9" gte="0"/>
      </iconSet>
    </cfRule>
  </conditionalFormatting>
  <conditionalFormatting sqref="T10">
    <cfRule type="iconSet" priority="949">
      <iconSet reverse="1">
        <cfvo type="percent" val="0"/>
        <cfvo type="formula" val="$U$10"/>
        <cfvo type="formula" val="$U$10" gte="0"/>
      </iconSet>
    </cfRule>
  </conditionalFormatting>
  <conditionalFormatting sqref="T26">
    <cfRule type="iconSet" priority="948">
      <iconSet reverse="1">
        <cfvo type="percent" val="0"/>
        <cfvo type="formula" val="$U$26"/>
        <cfvo type="formula" val="$U$26" gte="0"/>
      </iconSet>
    </cfRule>
  </conditionalFormatting>
  <conditionalFormatting sqref="T11">
    <cfRule type="iconSet" priority="947">
      <iconSet reverse="1">
        <cfvo type="percent" val="0"/>
        <cfvo type="formula" val="$U$11"/>
        <cfvo type="formula" val="$U$11" gte="0"/>
      </iconSet>
    </cfRule>
  </conditionalFormatting>
  <conditionalFormatting sqref="T27">
    <cfRule type="iconSet" priority="946">
      <iconSet reverse="1">
        <cfvo type="percent" val="0"/>
        <cfvo type="formula" val="$U$27"/>
        <cfvo type="formula" val="$U$27" gte="0"/>
      </iconSet>
    </cfRule>
  </conditionalFormatting>
  <conditionalFormatting sqref="T40">
    <cfRule type="iconSet" priority="945">
      <iconSet reverse="1">
        <cfvo type="percent" val="0"/>
        <cfvo type="formula" val="$U$40"/>
        <cfvo type="formula" val="$U$40" gte="0"/>
      </iconSet>
    </cfRule>
  </conditionalFormatting>
  <conditionalFormatting sqref="T41">
    <cfRule type="iconSet" priority="944">
      <iconSet reverse="1">
        <cfvo type="percent" val="0"/>
        <cfvo type="formula" val="$U$41"/>
        <cfvo type="formula" val="$U$41" gte="0"/>
      </iconSet>
    </cfRule>
  </conditionalFormatting>
  <conditionalFormatting sqref="T12">
    <cfRule type="iconSet" priority="943">
      <iconSet reverse="1">
        <cfvo type="percent" val="0"/>
        <cfvo type="formula" val="$U$12"/>
        <cfvo type="formula" val="$U$12" gte="0"/>
      </iconSet>
    </cfRule>
  </conditionalFormatting>
  <conditionalFormatting sqref="T13">
    <cfRule type="iconSet" priority="942">
      <iconSet reverse="1">
        <cfvo type="percent" val="0"/>
        <cfvo type="formula" val="$U$13"/>
        <cfvo type="formula" val="$U$13" gte="0"/>
      </iconSet>
    </cfRule>
  </conditionalFormatting>
  <conditionalFormatting sqref="T44">
    <cfRule type="iconSet" priority="941">
      <iconSet reverse="1">
        <cfvo type="percent" val="0"/>
        <cfvo type="formula" val="$U$44"/>
        <cfvo type="formula" val="$U$44" gte="0"/>
      </iconSet>
    </cfRule>
  </conditionalFormatting>
  <conditionalFormatting sqref="T14">
    <cfRule type="iconSet" priority="940">
      <iconSet reverse="1">
        <cfvo type="percent" val="0"/>
        <cfvo type="formula" val="$U$14"/>
        <cfvo type="formula" val="$U$14" gte="0"/>
      </iconSet>
    </cfRule>
  </conditionalFormatting>
  <conditionalFormatting sqref="T45">
    <cfRule type="iconSet" priority="939">
      <iconSet reverse="1">
        <cfvo type="percent" val="0"/>
        <cfvo type="formula" val="$U$45"/>
        <cfvo type="formula" val="$U$45" gte="0"/>
      </iconSet>
    </cfRule>
  </conditionalFormatting>
  <conditionalFormatting sqref="T54">
    <cfRule type="iconSet" priority="938">
      <iconSet reverse="1">
        <cfvo type="percent" val="0"/>
        <cfvo type="formula" val="$U$54"/>
        <cfvo type="formula" val="$U$54" gte="0"/>
      </iconSet>
    </cfRule>
  </conditionalFormatting>
  <conditionalFormatting sqref="T42">
    <cfRule type="iconSet" priority="937">
      <iconSet reverse="1">
        <cfvo type="percent" val="0"/>
        <cfvo type="formula" val="$U$42"/>
        <cfvo type="formula" val="$U$42" gte="0"/>
      </iconSet>
    </cfRule>
  </conditionalFormatting>
  <conditionalFormatting sqref="T15">
    <cfRule type="iconSet" priority="936">
      <iconSet reverse="1">
        <cfvo type="percent" val="0"/>
        <cfvo type="formula" val="$U$15"/>
        <cfvo type="formula" val="$U$15" gte="0"/>
      </iconSet>
    </cfRule>
  </conditionalFormatting>
  <conditionalFormatting sqref="T43">
    <cfRule type="iconSet" priority="935">
      <iconSet reverse="1">
        <cfvo type="percent" val="0"/>
        <cfvo type="formula" val="$U$43"/>
        <cfvo type="formula" val="$U$43" gte="0"/>
      </iconSet>
    </cfRule>
  </conditionalFormatting>
  <conditionalFormatting sqref="T16">
    <cfRule type="iconSet" priority="934">
      <iconSet reverse="1">
        <cfvo type="percent" val="0"/>
        <cfvo type="formula" val="$U$16"/>
        <cfvo type="formula" val="$U$16" gte="0"/>
      </iconSet>
    </cfRule>
  </conditionalFormatting>
  <conditionalFormatting sqref="T17">
    <cfRule type="iconSet" priority="933">
      <iconSet reverse="1">
        <cfvo type="percent" val="0"/>
        <cfvo type="formula" val="$U$17"/>
        <cfvo type="formula" val="$U$17" gte="0"/>
      </iconSet>
    </cfRule>
  </conditionalFormatting>
  <conditionalFormatting sqref="T29">
    <cfRule type="iconSet" priority="932">
      <iconSet reverse="1">
        <cfvo type="percent" val="0"/>
        <cfvo type="formula" val="$U$29"/>
        <cfvo type="formula" val="$U$29" gte="0"/>
      </iconSet>
    </cfRule>
  </conditionalFormatting>
  <conditionalFormatting sqref="T55">
    <cfRule type="iconSet" priority="931">
      <iconSet reverse="1">
        <cfvo type="percent" val="0"/>
        <cfvo type="formula" val="$U$55"/>
        <cfvo type="formula" val="$U$55" gte="0"/>
      </iconSet>
    </cfRule>
  </conditionalFormatting>
  <conditionalFormatting sqref="T28">
    <cfRule type="iconSet" priority="930">
      <iconSet reverse="1">
        <cfvo type="percent" val="0"/>
        <cfvo type="formula" val="$U$28"/>
        <cfvo type="formula" val="$U$28" gte="0"/>
      </iconSet>
    </cfRule>
  </conditionalFormatting>
  <conditionalFormatting sqref="T18">
    <cfRule type="iconSet" priority="929">
      <iconSet reverse="1">
        <cfvo type="percent" val="0"/>
        <cfvo type="formula" val="$U$18"/>
        <cfvo type="formula" val="$U$18" gte="0"/>
      </iconSet>
    </cfRule>
  </conditionalFormatting>
  <conditionalFormatting sqref="T56">
    <cfRule type="iconSet" priority="928">
      <iconSet reverse="1">
        <cfvo type="percent" val="0"/>
        <cfvo type="formula" val="$U$56"/>
        <cfvo type="formula" val="$U$56" gte="0"/>
      </iconSet>
    </cfRule>
  </conditionalFormatting>
  <conditionalFormatting sqref="T30">
    <cfRule type="iconSet" priority="927">
      <iconSet reverse="1">
        <cfvo type="percent" val="0"/>
        <cfvo type="formula" val="$U$30"/>
        <cfvo type="formula" val="$U$30" gte="0"/>
      </iconSet>
    </cfRule>
  </conditionalFormatting>
  <conditionalFormatting sqref="T31">
    <cfRule type="iconSet" priority="926">
      <iconSet reverse="1">
        <cfvo type="percent" val="0"/>
        <cfvo type="formula" val="$U$31"/>
        <cfvo type="formula" val="$U$31" gte="0"/>
      </iconSet>
    </cfRule>
  </conditionalFormatting>
  <conditionalFormatting sqref="T46">
    <cfRule type="iconSet" priority="925">
      <iconSet reverse="1">
        <cfvo type="percent" val="0"/>
        <cfvo type="formula" val="$U$46"/>
        <cfvo type="formula" val="$U$46" gte="0"/>
      </iconSet>
    </cfRule>
  </conditionalFormatting>
  <conditionalFormatting sqref="T47">
    <cfRule type="iconSet" priority="924">
      <iconSet reverse="1">
        <cfvo type="percent" val="0"/>
        <cfvo type="formula" val="$U$47"/>
        <cfvo type="formula" val="$U$47" gte="0"/>
      </iconSet>
    </cfRule>
  </conditionalFormatting>
  <conditionalFormatting sqref="T32">
    <cfRule type="iconSet" priority="923">
      <iconSet reverse="1">
        <cfvo type="percent" val="0"/>
        <cfvo type="formula" val="$U$32"/>
        <cfvo type="formula" val="$U$32" gte="0"/>
      </iconSet>
    </cfRule>
  </conditionalFormatting>
  <conditionalFormatting sqref="T60">
    <cfRule type="iconSet" priority="922">
      <iconSet reverse="1">
        <cfvo type="percent" val="0"/>
        <cfvo type="formula" val="$U$60"/>
        <cfvo type="formula" val="$U$60" gte="0"/>
      </iconSet>
    </cfRule>
  </conditionalFormatting>
  <conditionalFormatting sqref="T61">
    <cfRule type="iconSet" priority="921">
      <iconSet reverse="1">
        <cfvo type="percent" val="0"/>
        <cfvo type="formula" val="$U$61"/>
        <cfvo type="formula" val="$U$61" gte="0"/>
      </iconSet>
    </cfRule>
  </conditionalFormatting>
  <conditionalFormatting sqref="T57">
    <cfRule type="iconSet" priority="920">
      <iconSet reverse="1">
        <cfvo type="percent" val="0"/>
        <cfvo type="formula" val="$U$57"/>
        <cfvo type="formula" val="$U$57" gte="0"/>
      </iconSet>
    </cfRule>
  </conditionalFormatting>
  <conditionalFormatting sqref="T33">
    <cfRule type="iconSet" priority="919">
      <iconSet reverse="1">
        <cfvo type="percent" val="0"/>
        <cfvo type="formula" val="$U$33"/>
        <cfvo type="formula" val="$U$33" gte="0"/>
      </iconSet>
    </cfRule>
  </conditionalFormatting>
  <conditionalFormatting sqref="T34">
    <cfRule type="iconSet" priority="918">
      <iconSet reverse="1">
        <cfvo type="percent" val="0"/>
        <cfvo type="formula" val="$U$34"/>
        <cfvo type="formula" val="$U$34" gte="0"/>
      </iconSet>
    </cfRule>
  </conditionalFormatting>
  <conditionalFormatting sqref="T48">
    <cfRule type="iconSet" priority="917">
      <iconSet reverse="1">
        <cfvo type="percent" val="0"/>
        <cfvo type="formula" val="$U$48"/>
        <cfvo type="formula" val="$U$48" gte="0"/>
      </iconSet>
    </cfRule>
  </conditionalFormatting>
  <conditionalFormatting sqref="T19">
    <cfRule type="iconSet" priority="916">
      <iconSet reverse="1">
        <cfvo type="percent" val="0"/>
        <cfvo type="formula" val="$U$19"/>
        <cfvo type="formula" val="$U$19" gte="0"/>
      </iconSet>
    </cfRule>
  </conditionalFormatting>
  <conditionalFormatting sqref="T35">
    <cfRule type="iconSet" priority="915">
      <iconSet reverse="1">
        <cfvo type="percent" val="0"/>
        <cfvo type="formula" val="$U$35"/>
        <cfvo type="formula" val="$U$35" gte="0"/>
      </iconSet>
    </cfRule>
  </conditionalFormatting>
  <conditionalFormatting sqref="T62">
    <cfRule type="iconSet" priority="914">
      <iconSet reverse="1">
        <cfvo type="percent" val="0"/>
        <cfvo type="formula" val="$U$62"/>
        <cfvo type="formula" val="$U$62" gte="0"/>
      </iconSet>
    </cfRule>
  </conditionalFormatting>
  <conditionalFormatting sqref="T36">
    <cfRule type="iconSet" priority="913">
      <iconSet reverse="1">
        <cfvo type="percent" val="0"/>
        <cfvo type="formula" val="$U$36"/>
        <cfvo type="formula" val="$U$36" gte="0"/>
      </iconSet>
    </cfRule>
  </conditionalFormatting>
  <conditionalFormatting sqref="T69">
    <cfRule type="iconSet" priority="912">
      <iconSet reverse="1">
        <cfvo type="percent" val="0"/>
        <cfvo type="formula" val="$U$69"/>
        <cfvo type="formula" val="$U$69" gte="0"/>
      </iconSet>
    </cfRule>
  </conditionalFormatting>
  <conditionalFormatting sqref="T70">
    <cfRule type="iconSet" priority="911">
      <iconSet reverse="1">
        <cfvo type="percent" val="0"/>
        <cfvo type="formula" val="$U$70"/>
        <cfvo type="formula" val="$U$70" gte="0"/>
      </iconSet>
    </cfRule>
  </conditionalFormatting>
  <conditionalFormatting sqref="T71">
    <cfRule type="iconSet" priority="910">
      <iconSet reverse="1">
        <cfvo type="percent" val="0"/>
        <cfvo type="formula" val="$U$71"/>
        <cfvo type="formula" val="$U$71" gte="0"/>
      </iconSet>
    </cfRule>
  </conditionalFormatting>
  <conditionalFormatting sqref="T72">
    <cfRule type="iconSet" priority="909">
      <iconSet reverse="1">
        <cfvo type="percent" val="0"/>
        <cfvo type="formula" val="$U$72"/>
        <cfvo type="formula" val="$U$72" gte="0"/>
      </iconSet>
    </cfRule>
  </conditionalFormatting>
  <conditionalFormatting sqref="T73">
    <cfRule type="iconSet" priority="908">
      <iconSet reverse="1">
        <cfvo type="percent" val="0"/>
        <cfvo type="formula" val="$U$73"/>
        <cfvo type="formula" val="$U$73" gte="0"/>
      </iconSet>
    </cfRule>
  </conditionalFormatting>
  <conditionalFormatting sqref="AN43">
    <cfRule type="iconSet" priority="907">
      <iconSet iconSet="3Arrows">
        <cfvo type="percent" val="0"/>
        <cfvo type="formula" val="$AP$43"/>
        <cfvo type="formula" val="$AP$43" gte="0"/>
      </iconSet>
    </cfRule>
  </conditionalFormatting>
  <conditionalFormatting sqref="AQ43">
    <cfRule type="iconSet" priority="906">
      <iconSet iconSet="3Arrows">
        <cfvo type="percent" val="0"/>
        <cfvo type="formula" val="$AS$43"/>
        <cfvo type="formula" val="$AS$43" gte="0"/>
      </iconSet>
    </cfRule>
  </conditionalFormatting>
  <conditionalFormatting sqref="AT43">
    <cfRule type="iconSet" priority="905">
      <iconSet iconSet="3Arrows">
        <cfvo type="percent" val="0"/>
        <cfvo type="formula" val="$AV$43"/>
        <cfvo type="formula" val="$AV$43" gte="0"/>
      </iconSet>
    </cfRule>
  </conditionalFormatting>
  <conditionalFormatting sqref="AW43">
    <cfRule type="iconSet" priority="904">
      <iconSet iconSet="3Arrows">
        <cfvo type="percent" val="0"/>
        <cfvo type="formula" val="$AY$43"/>
        <cfvo type="formula" val="$AY$43" gte="0"/>
      </iconSet>
    </cfRule>
  </conditionalFormatting>
  <conditionalFormatting sqref="AZ43">
    <cfRule type="iconSet" priority="903">
      <iconSet iconSet="3Arrows">
        <cfvo type="percent" val="0"/>
        <cfvo type="formula" val="$BB$43"/>
        <cfvo type="formula" val="$BB$43" gte="0"/>
      </iconSet>
    </cfRule>
  </conditionalFormatting>
  <conditionalFormatting sqref="BC43">
    <cfRule type="iconSet" priority="902">
      <iconSet iconSet="3Arrows">
        <cfvo type="percent" val="0"/>
        <cfvo type="formula" val="$BE$43"/>
        <cfvo type="formula" val="$BE$43" gte="0"/>
      </iconSet>
    </cfRule>
  </conditionalFormatting>
  <conditionalFormatting sqref="BF43">
    <cfRule type="iconSet" priority="901">
      <iconSet iconSet="3Arrows">
        <cfvo type="percent" val="0"/>
        <cfvo type="formula" val="$BH$43"/>
        <cfvo type="formula" val="$BH$43" gte="0"/>
      </iconSet>
    </cfRule>
  </conditionalFormatting>
  <conditionalFormatting sqref="BI43">
    <cfRule type="iconSet" priority="900">
      <iconSet iconSet="3Arrows">
        <cfvo type="percent" val="0"/>
        <cfvo type="formula" val="$BK$43"/>
        <cfvo type="formula" val="$BK$43" gte="0"/>
      </iconSet>
    </cfRule>
  </conditionalFormatting>
  <conditionalFormatting sqref="CI20">
    <cfRule type="iconSet" priority="17981">
      <iconSet iconSet="3Arrows">
        <cfvo type="percent" val="0"/>
        <cfvo type="formula" val="$CJ$38"/>
        <cfvo type="formula" val="$CJ$38" gte="0"/>
      </iconSet>
    </cfRule>
  </conditionalFormatting>
  <conditionalFormatting sqref="Z6">
    <cfRule type="iconSet" priority="891">
      <iconSet iconSet="3Arrows">
        <cfvo type="percent" val="0"/>
        <cfvo type="formula" val="$AA$6"/>
        <cfvo type="formula" val="$AA$6" gte="0"/>
      </iconSet>
    </cfRule>
  </conditionalFormatting>
  <conditionalFormatting sqref="Z7">
    <cfRule type="iconSet" priority="890">
      <iconSet iconSet="3Arrows">
        <cfvo type="percent" val="0"/>
        <cfvo type="formula" val="$AA$7"/>
        <cfvo type="formula" val="$AA$7" gte="0"/>
      </iconSet>
    </cfRule>
  </conditionalFormatting>
  <conditionalFormatting sqref="Z8">
    <cfRule type="iconSet" priority="889">
      <iconSet iconSet="3Arrows">
        <cfvo type="percent" val="0"/>
        <cfvo type="formula" val="$AA$8"/>
        <cfvo type="formula" val="$AA$8" gte="0"/>
      </iconSet>
    </cfRule>
  </conditionalFormatting>
  <conditionalFormatting sqref="Z9">
    <cfRule type="iconSet" priority="888">
      <iconSet iconSet="3Arrows">
        <cfvo type="percent" val="0"/>
        <cfvo type="formula" val="$AA$9"/>
        <cfvo type="formula" val="$AA$9" gte="0"/>
      </iconSet>
    </cfRule>
  </conditionalFormatting>
  <conditionalFormatting sqref="Z10">
    <cfRule type="iconSet" priority="887">
      <iconSet iconSet="3Arrows">
        <cfvo type="percent" val="0"/>
        <cfvo type="formula" val="$AA$10"/>
        <cfvo type="formula" val="$AA$10" gte="0"/>
      </iconSet>
    </cfRule>
  </conditionalFormatting>
  <conditionalFormatting sqref="Z11">
    <cfRule type="iconSet" priority="886">
      <iconSet iconSet="3Arrows">
        <cfvo type="percent" val="0"/>
        <cfvo type="formula" val="$AA$11"/>
        <cfvo type="formula" val="$AA$11" gte="0"/>
      </iconSet>
    </cfRule>
  </conditionalFormatting>
  <conditionalFormatting sqref="Z12">
    <cfRule type="iconSet" priority="885">
      <iconSet iconSet="3Arrows">
        <cfvo type="percent" val="0"/>
        <cfvo type="formula" val="$AA$12"/>
        <cfvo type="formula" val="$AA$12" gte="0"/>
      </iconSet>
    </cfRule>
  </conditionalFormatting>
  <conditionalFormatting sqref="Z13">
    <cfRule type="iconSet" priority="884">
      <iconSet iconSet="3Arrows">
        <cfvo type="percent" val="0"/>
        <cfvo type="formula" val="$AA$13"/>
        <cfvo type="formula" val="$AA$13" gte="0"/>
      </iconSet>
    </cfRule>
  </conditionalFormatting>
  <conditionalFormatting sqref="Z14">
    <cfRule type="iconSet" priority="883">
      <iconSet iconSet="3Arrows">
        <cfvo type="percent" val="0"/>
        <cfvo type="formula" val="$AA$14"/>
        <cfvo type="formula" val="$AA$14" gte="0"/>
      </iconSet>
    </cfRule>
  </conditionalFormatting>
  <conditionalFormatting sqref="Z15">
    <cfRule type="iconSet" priority="882">
      <iconSet iconSet="3Arrows">
        <cfvo type="percent" val="0"/>
        <cfvo type="formula" val="$AA$15"/>
        <cfvo type="formula" val="$AA$15" gte="0"/>
      </iconSet>
    </cfRule>
  </conditionalFormatting>
  <conditionalFormatting sqref="Z16">
    <cfRule type="iconSet" priority="881">
      <iconSet iconSet="3Arrows">
        <cfvo type="percent" val="0"/>
        <cfvo type="formula" val="$AA$16"/>
        <cfvo type="formula" val="$AA$16" gte="0"/>
      </iconSet>
    </cfRule>
  </conditionalFormatting>
  <conditionalFormatting sqref="Z17">
    <cfRule type="iconSet" priority="880">
      <iconSet iconSet="3Arrows">
        <cfvo type="percent" val="0"/>
        <cfvo type="formula" val="$AA$17"/>
        <cfvo type="formula" val="$AA$17" gte="0"/>
      </iconSet>
    </cfRule>
  </conditionalFormatting>
  <conditionalFormatting sqref="Z18">
    <cfRule type="iconSet" priority="879">
      <iconSet iconSet="3Arrows">
        <cfvo type="percent" val="0"/>
        <cfvo type="formula" val="$AA$18"/>
        <cfvo type="formula" val="$AA$18" gte="0"/>
      </iconSet>
    </cfRule>
  </conditionalFormatting>
  <conditionalFormatting sqref="Z19">
    <cfRule type="iconSet" priority="878">
      <iconSet iconSet="3Arrows">
        <cfvo type="percent" val="0"/>
        <cfvo type="formula" val="$AA$19"/>
        <cfvo type="formula" val="$AA$19" gte="0"/>
      </iconSet>
    </cfRule>
  </conditionalFormatting>
  <conditionalFormatting sqref="Z62">
    <cfRule type="iconSet" priority="877">
      <iconSet iconSet="3Arrows">
        <cfvo type="percent" val="0"/>
        <cfvo type="formula" val="$AA$62"/>
        <cfvo type="formula" val="$AA$62" gte="0"/>
      </iconSet>
    </cfRule>
  </conditionalFormatting>
  <conditionalFormatting sqref="Z61">
    <cfRule type="iconSet" priority="876">
      <iconSet iconSet="3Arrows">
        <cfvo type="percent" val="0"/>
        <cfvo type="formula" val="$AA$61"/>
        <cfvo type="formula" val="$AA$61" gte="0"/>
      </iconSet>
    </cfRule>
  </conditionalFormatting>
  <conditionalFormatting sqref="Z60">
    <cfRule type="iconSet" priority="875">
      <iconSet iconSet="3Arrows">
        <cfvo type="percent" val="0"/>
        <cfvo type="formula" val="$AA$60"/>
        <cfvo type="formula" val="$AA$60" gte="0"/>
      </iconSet>
    </cfRule>
  </conditionalFormatting>
  <conditionalFormatting sqref="Z59">
    <cfRule type="iconSet" priority="874">
      <iconSet iconSet="3Arrows">
        <cfvo type="percent" val="0"/>
        <cfvo type="formula" val="$AA$59"/>
        <cfvo type="formula" val="$AA$59" gte="0"/>
      </iconSet>
    </cfRule>
  </conditionalFormatting>
  <conditionalFormatting sqref="Z58">
    <cfRule type="iconSet" priority="873">
      <iconSet iconSet="3Arrows">
        <cfvo type="percent" val="0"/>
        <cfvo type="formula" val="$AA$58"/>
        <cfvo type="formula" val="$AA$58" gte="0"/>
      </iconSet>
    </cfRule>
  </conditionalFormatting>
  <conditionalFormatting sqref="Z57">
    <cfRule type="iconSet" priority="872">
      <iconSet iconSet="3Arrows">
        <cfvo type="percent" val="0"/>
        <cfvo type="formula" val="$AA$57"/>
        <cfvo type="formula" val="$AA$57" gte="0"/>
      </iconSet>
    </cfRule>
  </conditionalFormatting>
  <conditionalFormatting sqref="Z56">
    <cfRule type="iconSet" priority="871">
      <iconSet iconSet="3Arrows">
        <cfvo type="percent" val="0"/>
        <cfvo type="formula" val="$AA$56"/>
        <cfvo type="formula" val="$AA$56" gte="0"/>
      </iconSet>
    </cfRule>
  </conditionalFormatting>
  <conditionalFormatting sqref="Z55">
    <cfRule type="iconSet" priority="870">
      <iconSet iconSet="3Arrows">
        <cfvo type="percent" val="0"/>
        <cfvo type="formula" val="$AA$55"/>
        <cfvo type="formula" val="$AA$55" gte="0"/>
      </iconSet>
    </cfRule>
  </conditionalFormatting>
  <conditionalFormatting sqref="Z54">
    <cfRule type="iconSet" priority="869">
      <iconSet iconSet="3Arrows">
        <cfvo type="percent" val="0"/>
        <cfvo type="formula" val="$AA$54"/>
        <cfvo type="formula" val="$AA$54" gte="0"/>
      </iconSet>
    </cfRule>
  </conditionalFormatting>
  <conditionalFormatting sqref="Z53">
    <cfRule type="iconSet" priority="868">
      <iconSet iconSet="3Arrows">
        <cfvo type="percent" val="0"/>
        <cfvo type="formula" val="$AA$53"/>
        <cfvo type="formula" val="$AA$53" gte="0"/>
      </iconSet>
    </cfRule>
  </conditionalFormatting>
  <conditionalFormatting sqref="Z52">
    <cfRule type="iconSet" priority="867">
      <iconSet iconSet="3Arrows">
        <cfvo type="percent" val="0"/>
        <cfvo type="formula" val="$AA$52"/>
        <cfvo type="formula" val="$AA$52" gte="0"/>
      </iconSet>
    </cfRule>
  </conditionalFormatting>
  <conditionalFormatting sqref="Z51">
    <cfRule type="iconSet" priority="866">
      <iconSet iconSet="3Arrows">
        <cfvo type="percent" val="0"/>
        <cfvo type="formula" val="$AA$51"/>
        <cfvo type="formula" val="$AA$51" gte="0"/>
      </iconSet>
    </cfRule>
  </conditionalFormatting>
  <conditionalFormatting sqref="Z50">
    <cfRule type="iconSet" priority="865">
      <iconSet iconSet="3Arrows">
        <cfvo type="percent" val="0"/>
        <cfvo type="formula" val="$AA$50"/>
        <cfvo type="formula" val="$AA$50" gte="0"/>
      </iconSet>
    </cfRule>
  </conditionalFormatting>
  <conditionalFormatting sqref="Z49">
    <cfRule type="iconSet" priority="864">
      <iconSet iconSet="3Arrows">
        <cfvo type="percent" val="0"/>
        <cfvo type="formula" val="$AA$49"/>
        <cfvo type="formula" val="$AA$49" gte="0"/>
      </iconSet>
    </cfRule>
  </conditionalFormatting>
  <conditionalFormatting sqref="Z48">
    <cfRule type="iconSet" priority="863">
      <iconSet iconSet="3Arrows">
        <cfvo type="percent" val="0"/>
        <cfvo type="formula" val="$AA$48"/>
        <cfvo type="formula" val="$AA$48" gte="0"/>
      </iconSet>
    </cfRule>
  </conditionalFormatting>
  <conditionalFormatting sqref="Z47">
    <cfRule type="iconSet" priority="862">
      <iconSet iconSet="3Arrows">
        <cfvo type="percent" val="0"/>
        <cfvo type="formula" val="$AA$47"/>
        <cfvo type="formula" val="$AA$47" gte="0"/>
      </iconSet>
    </cfRule>
  </conditionalFormatting>
  <conditionalFormatting sqref="Z46">
    <cfRule type="iconSet" priority="861">
      <iconSet iconSet="3Arrows">
        <cfvo type="percent" val="0"/>
        <cfvo type="formula" val="$AA$46"/>
        <cfvo type="formula" val="$AA$46" gte="0"/>
      </iconSet>
    </cfRule>
  </conditionalFormatting>
  <conditionalFormatting sqref="Z45">
    <cfRule type="iconSet" priority="860">
      <iconSet iconSet="3Arrows">
        <cfvo type="percent" val="0"/>
        <cfvo type="formula" val="$AA$45"/>
        <cfvo type="formula" val="$AA$45" gte="0"/>
      </iconSet>
    </cfRule>
  </conditionalFormatting>
  <conditionalFormatting sqref="Z44">
    <cfRule type="iconSet" priority="859">
      <iconSet iconSet="3Arrows">
        <cfvo type="percent" val="0"/>
        <cfvo type="formula" val="$AA$44"/>
        <cfvo type="formula" val="$AA$44" gte="0"/>
      </iconSet>
    </cfRule>
  </conditionalFormatting>
  <conditionalFormatting sqref="Z43">
    <cfRule type="iconSet" priority="858">
      <iconSet iconSet="3Arrows">
        <cfvo type="percent" val="0"/>
        <cfvo type="formula" val="$AA$43"/>
        <cfvo type="formula" val="$AA$43" gte="0"/>
      </iconSet>
    </cfRule>
  </conditionalFormatting>
  <conditionalFormatting sqref="Z20">
    <cfRule type="iconSet" priority="857">
      <iconSet iconSet="3Arrows">
        <cfvo type="percent" val="0"/>
        <cfvo type="formula" val="$AA$20"/>
        <cfvo type="formula" val="$AA$20" gte="0"/>
      </iconSet>
    </cfRule>
  </conditionalFormatting>
  <conditionalFormatting sqref="Z21">
    <cfRule type="iconSet" priority="856">
      <iconSet iconSet="3Arrows">
        <cfvo type="percent" val="0"/>
        <cfvo type="formula" val="$AA$21"/>
        <cfvo type="formula" val="$AA$21" gte="0"/>
      </iconSet>
    </cfRule>
  </conditionalFormatting>
  <conditionalFormatting sqref="Z22">
    <cfRule type="iconSet" priority="855">
      <iconSet iconSet="3Arrows">
        <cfvo type="percent" val="0"/>
        <cfvo type="formula" val="$AA$22"/>
        <cfvo type="formula" val="$AA$22" gte="0"/>
      </iconSet>
    </cfRule>
  </conditionalFormatting>
  <conditionalFormatting sqref="Z23">
    <cfRule type="iconSet" priority="854">
      <iconSet iconSet="3Arrows">
        <cfvo type="percent" val="0"/>
        <cfvo type="formula" val="$AA$23"/>
        <cfvo type="formula" val="$AA$23" gte="0"/>
      </iconSet>
    </cfRule>
  </conditionalFormatting>
  <conditionalFormatting sqref="Z24">
    <cfRule type="iconSet" priority="853">
      <iconSet iconSet="3Arrows">
        <cfvo type="percent" val="0"/>
        <cfvo type="formula" val="$AA$24"/>
        <cfvo type="formula" val="$AA$24" gte="0"/>
      </iconSet>
    </cfRule>
  </conditionalFormatting>
  <conditionalFormatting sqref="Z25">
    <cfRule type="iconSet" priority="852">
      <iconSet iconSet="3Arrows">
        <cfvo type="percent" val="0"/>
        <cfvo type="formula" val="$AA$25"/>
        <cfvo type="formula" val="$AA$25" gte="0"/>
      </iconSet>
    </cfRule>
  </conditionalFormatting>
  <conditionalFormatting sqref="Z26">
    <cfRule type="iconSet" priority="851">
      <iconSet iconSet="3Arrows">
        <cfvo type="percent" val="0"/>
        <cfvo type="formula" val="$AA$26"/>
        <cfvo type="formula" val="$AA$26" gte="0"/>
      </iconSet>
    </cfRule>
  </conditionalFormatting>
  <conditionalFormatting sqref="Z27">
    <cfRule type="iconSet" priority="850">
      <iconSet iconSet="3Arrows">
        <cfvo type="percent" val="0"/>
        <cfvo type="formula" val="$AA$27"/>
        <cfvo type="formula" val="$AA$27" gte="0"/>
      </iconSet>
    </cfRule>
  </conditionalFormatting>
  <conditionalFormatting sqref="Z28">
    <cfRule type="iconSet" priority="849">
      <iconSet iconSet="3Arrows">
        <cfvo type="percent" val="0"/>
        <cfvo type="formula" val="$AA$28"/>
        <cfvo type="formula" val="$AA$28" gte="0"/>
      </iconSet>
    </cfRule>
  </conditionalFormatting>
  <conditionalFormatting sqref="Z29">
    <cfRule type="iconSet" priority="848">
      <iconSet iconSet="3Arrows">
        <cfvo type="percent" val="0"/>
        <cfvo type="formula" val="$AA$29"/>
        <cfvo type="formula" val="$AA$29" gte="0"/>
      </iconSet>
    </cfRule>
  </conditionalFormatting>
  <conditionalFormatting sqref="Z42">
    <cfRule type="iconSet" priority="847">
      <iconSet iconSet="3Arrows">
        <cfvo type="percent" val="0"/>
        <cfvo type="formula" val="$AA$42"/>
        <cfvo type="formula" val="$AA$42" gte="0"/>
      </iconSet>
    </cfRule>
  </conditionalFormatting>
  <conditionalFormatting sqref="Z41">
    <cfRule type="iconSet" priority="846">
      <iconSet iconSet="3Arrows">
        <cfvo type="percent" val="0"/>
        <cfvo type="formula" val="$AA$41"/>
        <cfvo type="formula" val="$AA$41" gte="0"/>
      </iconSet>
    </cfRule>
  </conditionalFormatting>
  <conditionalFormatting sqref="Z40">
    <cfRule type="iconSet" priority="845">
      <iconSet iconSet="3Arrows">
        <cfvo type="percent" val="0"/>
        <cfvo type="formula" val="$AA$40"/>
        <cfvo type="formula" val="$AA$40" gte="0"/>
      </iconSet>
    </cfRule>
  </conditionalFormatting>
  <conditionalFormatting sqref="Z39">
    <cfRule type="iconSet" priority="844">
      <iconSet iconSet="3Arrows">
        <cfvo type="percent" val="0"/>
        <cfvo type="formula" val="$AA$39"/>
        <cfvo type="formula" val="$AA$39" gte="0"/>
      </iconSet>
    </cfRule>
  </conditionalFormatting>
  <conditionalFormatting sqref="Z38">
    <cfRule type="iconSet" priority="843">
      <iconSet iconSet="3Arrows">
        <cfvo type="percent" val="0"/>
        <cfvo type="formula" val="$AA$38"/>
        <cfvo type="formula" val="$AA$38" gte="0"/>
      </iconSet>
    </cfRule>
  </conditionalFormatting>
  <conditionalFormatting sqref="Z37">
    <cfRule type="iconSet" priority="842">
      <iconSet iconSet="3Arrows">
        <cfvo type="percent" val="0"/>
        <cfvo type="formula" val="$AA$37"/>
        <cfvo type="formula" val="$AA$37" gte="0"/>
      </iconSet>
    </cfRule>
  </conditionalFormatting>
  <conditionalFormatting sqref="Z36">
    <cfRule type="iconSet" priority="841">
      <iconSet iconSet="3Arrows">
        <cfvo type="percent" val="0"/>
        <cfvo type="formula" val="$AA$36"/>
        <cfvo type="formula" val="$AA$36" gte="0"/>
      </iconSet>
    </cfRule>
  </conditionalFormatting>
  <conditionalFormatting sqref="Z35">
    <cfRule type="iconSet" priority="840">
      <iconSet iconSet="3Arrows">
        <cfvo type="percent" val="0"/>
        <cfvo type="formula" val="$AA$35"/>
        <cfvo type="formula" val="$AA$35" gte="0"/>
      </iconSet>
    </cfRule>
  </conditionalFormatting>
  <conditionalFormatting sqref="Z34">
    <cfRule type="iconSet" priority="839">
      <iconSet iconSet="3Arrows">
        <cfvo type="percent" val="0"/>
        <cfvo type="formula" val="$AA$34"/>
        <cfvo type="formula" val="$AA$34" gte="0"/>
      </iconSet>
    </cfRule>
  </conditionalFormatting>
  <conditionalFormatting sqref="Z33">
    <cfRule type="iconSet" priority="838">
      <iconSet iconSet="3Arrows">
        <cfvo type="percent" val="0"/>
        <cfvo type="formula" val="$AA$33"/>
        <cfvo type="formula" val="$AA$33" gte="0"/>
      </iconSet>
    </cfRule>
  </conditionalFormatting>
  <conditionalFormatting sqref="Z32">
    <cfRule type="iconSet" priority="837">
      <iconSet iconSet="3Arrows">
        <cfvo type="percent" val="0"/>
        <cfvo type="formula" val="$AA$32"/>
        <cfvo type="formula" val="$AA$32" gte="0"/>
      </iconSet>
    </cfRule>
  </conditionalFormatting>
  <conditionalFormatting sqref="Z31">
    <cfRule type="iconSet" priority="836">
      <iconSet iconSet="3Arrows">
        <cfvo type="percent" val="0"/>
        <cfvo type="formula" val="$AA$31"/>
        <cfvo type="formula" val="$AA$31" gte="0"/>
      </iconSet>
    </cfRule>
  </conditionalFormatting>
  <conditionalFormatting sqref="Z30">
    <cfRule type="iconSet" priority="835">
      <iconSet iconSet="3Arrows">
        <cfvo type="percent" val="0"/>
        <cfvo type="formula" val="$AA$30"/>
        <cfvo type="formula" val="$AA$30" gte="0"/>
      </iconSet>
    </cfRule>
  </conditionalFormatting>
  <conditionalFormatting sqref="BL69">
    <cfRule type="iconSet" priority="834">
      <iconSet iconSet="3Arrows">
        <cfvo type="percent" val="0"/>
        <cfvo type="formula" val="$BM$69"/>
        <cfvo type="formula" val="$BM$69" gte="0"/>
      </iconSet>
    </cfRule>
  </conditionalFormatting>
  <conditionalFormatting sqref="BL70">
    <cfRule type="iconSet" priority="833">
      <iconSet iconSet="3Arrows">
        <cfvo type="percent" val="0"/>
        <cfvo type="formula" val="$BM$70"/>
        <cfvo type="formula" val="$BM$70" gte="0"/>
      </iconSet>
    </cfRule>
  </conditionalFormatting>
  <conditionalFormatting sqref="BL71">
    <cfRule type="iconSet" priority="832">
      <iconSet iconSet="3Arrows">
        <cfvo type="percent" val="0"/>
        <cfvo type="formula" val="$BM$71"/>
        <cfvo type="formula" val="$BM$71" gte="0"/>
      </iconSet>
    </cfRule>
  </conditionalFormatting>
  <conditionalFormatting sqref="BL72">
    <cfRule type="iconSet" priority="831">
      <iconSet iconSet="3Arrows">
        <cfvo type="percent" val="0"/>
        <cfvo type="formula" val="$BM$72"/>
        <cfvo type="formula" val="$BM$72" gte="0"/>
      </iconSet>
    </cfRule>
  </conditionalFormatting>
  <conditionalFormatting sqref="BL73">
    <cfRule type="iconSet" priority="830">
      <iconSet iconSet="3Arrows">
        <cfvo type="percent" val="0"/>
        <cfvo type="formula" val="$BM$73"/>
        <cfvo type="formula" val="$BM$73" gte="0"/>
      </iconSet>
    </cfRule>
  </conditionalFormatting>
  <conditionalFormatting sqref="Z69">
    <cfRule type="iconSet" priority="829">
      <iconSet iconSet="3Arrows">
        <cfvo type="percent" val="0"/>
        <cfvo type="formula" val="$AA$69"/>
        <cfvo type="formula" val="$AA$69" gte="0"/>
      </iconSet>
    </cfRule>
  </conditionalFormatting>
  <conditionalFormatting sqref="Z70">
    <cfRule type="iconSet" priority="828">
      <iconSet iconSet="3Arrows">
        <cfvo type="percent" val="0"/>
        <cfvo type="formula" val="$AA$70"/>
        <cfvo type="formula" val="$AA$70" gte="0"/>
      </iconSet>
    </cfRule>
  </conditionalFormatting>
  <conditionalFormatting sqref="Z71">
    <cfRule type="iconSet" priority="827">
      <iconSet iconSet="3Arrows">
        <cfvo type="percent" val="0"/>
        <cfvo type="formula" val="$AA$71"/>
        <cfvo type="formula" val="$AA$71" gte="0"/>
      </iconSet>
    </cfRule>
  </conditionalFormatting>
  <conditionalFormatting sqref="Z72">
    <cfRule type="iconSet" priority="826">
      <iconSet iconSet="3Arrows">
        <cfvo type="percent" val="0"/>
        <cfvo type="formula" val="$AA$72"/>
        <cfvo type="formula" val="$AA$72" gte="0"/>
      </iconSet>
    </cfRule>
  </conditionalFormatting>
  <conditionalFormatting sqref="Z73">
    <cfRule type="iconSet" priority="825">
      <iconSet iconSet="3Arrows">
        <cfvo type="percent" val="0"/>
        <cfvo type="formula" val="$AA$73"/>
        <cfvo type="formula" val="$AA$73" gte="0"/>
      </iconSet>
    </cfRule>
  </conditionalFormatting>
  <conditionalFormatting sqref="BL6">
    <cfRule type="iconSet" priority="824">
      <iconSet iconSet="3Arrows">
        <cfvo type="percent" val="0"/>
        <cfvo type="formula" val="$BM$6"/>
        <cfvo type="formula" val="$BM$6" gte="0"/>
      </iconSet>
    </cfRule>
  </conditionalFormatting>
  <conditionalFormatting sqref="BL7">
    <cfRule type="iconSet" priority="823">
      <iconSet iconSet="3Arrows">
        <cfvo type="percent" val="0"/>
        <cfvo type="formula" val="$BM$7"/>
        <cfvo type="formula" val="$BM$7" gte="0"/>
      </iconSet>
    </cfRule>
  </conditionalFormatting>
  <conditionalFormatting sqref="BL9">
    <cfRule type="iconSet" priority="822">
      <iconSet iconSet="3Arrows">
        <cfvo type="percent" val="0"/>
        <cfvo type="formula" val="$BM$9"/>
        <cfvo type="formula" val="$BM$9" gte="0"/>
      </iconSet>
    </cfRule>
  </conditionalFormatting>
  <conditionalFormatting sqref="BL12">
    <cfRule type="iconSet" priority="821">
      <iconSet iconSet="3Arrows">
        <cfvo type="percent" val="0"/>
        <cfvo type="formula" val="$BM$12"/>
        <cfvo type="formula" val="$BM$12" gte="0"/>
      </iconSet>
    </cfRule>
  </conditionalFormatting>
  <conditionalFormatting sqref="BL13">
    <cfRule type="iconSet" priority="820">
      <iconSet iconSet="3Arrows">
        <cfvo type="percent" val="0"/>
        <cfvo type="formula" val="$BM$13"/>
        <cfvo type="formula" val="$BM$13" gte="0"/>
      </iconSet>
    </cfRule>
  </conditionalFormatting>
  <conditionalFormatting sqref="BL17">
    <cfRule type="iconSet" priority="819">
      <iconSet iconSet="3Arrows">
        <cfvo type="percent" val="0"/>
        <cfvo type="formula" val="$BM$17"/>
        <cfvo type="formula" val="$BM$17" gte="0"/>
      </iconSet>
    </cfRule>
  </conditionalFormatting>
  <conditionalFormatting sqref="BL18">
    <cfRule type="iconSet" priority="818">
      <iconSet iconSet="3Arrows">
        <cfvo type="percent" val="0"/>
        <cfvo type="formula" val="$BM$18"/>
        <cfvo type="formula" val="$BM$18" gte="0"/>
      </iconSet>
    </cfRule>
  </conditionalFormatting>
  <conditionalFormatting sqref="BL20">
    <cfRule type="iconSet" priority="817">
      <iconSet iconSet="3Arrows">
        <cfvo type="percent" val="0"/>
        <cfvo type="formula" val="$BM$20"/>
        <cfvo type="formula" val="$BM$20" gte="0"/>
      </iconSet>
    </cfRule>
  </conditionalFormatting>
  <conditionalFormatting sqref="BL21">
    <cfRule type="iconSet" priority="816">
      <iconSet iconSet="3Arrows">
        <cfvo type="percent" val="0"/>
        <cfvo type="formula" val="$BM$21"/>
        <cfvo type="formula" val="$BM$21" gte="0"/>
      </iconSet>
    </cfRule>
  </conditionalFormatting>
  <conditionalFormatting sqref="BL23">
    <cfRule type="iconSet" priority="815">
      <iconSet iconSet="3Arrows">
        <cfvo type="percent" val="0"/>
        <cfvo type="formula" val="$BM$23"/>
        <cfvo type="formula" val="$BM$23" gte="0"/>
      </iconSet>
    </cfRule>
  </conditionalFormatting>
  <conditionalFormatting sqref="BL26">
    <cfRule type="iconSet" priority="814">
      <iconSet iconSet="3Arrows">
        <cfvo type="percent" val="0"/>
        <cfvo type="formula" val="$BM$26"/>
        <cfvo type="formula" val="$BM$26" gte="0"/>
      </iconSet>
    </cfRule>
  </conditionalFormatting>
  <conditionalFormatting sqref="BL29">
    <cfRule type="iconSet" priority="813">
      <iconSet iconSet="3Arrows">
        <cfvo type="percent" val="0"/>
        <cfvo type="formula" val="$BM$29"/>
        <cfvo type="formula" val="$BM$29" gte="0"/>
      </iconSet>
    </cfRule>
  </conditionalFormatting>
  <conditionalFormatting sqref="BL30">
    <cfRule type="iconSet" priority="812">
      <iconSet iconSet="3Arrows">
        <cfvo type="percent" val="0"/>
        <cfvo type="formula" val="$BM$30"/>
        <cfvo type="formula" val="$BM$30" gte="0"/>
      </iconSet>
    </cfRule>
  </conditionalFormatting>
  <conditionalFormatting sqref="BL34">
    <cfRule type="iconSet" priority="811">
      <iconSet iconSet="3Arrows">
        <cfvo type="percent" val="0"/>
        <cfvo type="formula" val="$BM$34"/>
        <cfvo type="formula" val="$BM$34" gte="0"/>
      </iconSet>
    </cfRule>
  </conditionalFormatting>
  <conditionalFormatting sqref="BL61">
    <cfRule type="iconSet" priority="809">
      <iconSet iconSet="3Arrows">
        <cfvo type="percent" val="0"/>
        <cfvo type="formula" val="$BM$61"/>
        <cfvo type="formula" val="$BM$61" gte="0"/>
      </iconSet>
    </cfRule>
  </conditionalFormatting>
  <conditionalFormatting sqref="BL57">
    <cfRule type="iconSet" priority="808">
      <iconSet iconSet="3Arrows">
        <cfvo type="percent" val="0"/>
        <cfvo type="formula" val="$BM$57"/>
        <cfvo type="formula" val="$BM$57" gte="0"/>
      </iconSet>
    </cfRule>
  </conditionalFormatting>
  <conditionalFormatting sqref="BL55">
    <cfRule type="iconSet" priority="807">
      <iconSet iconSet="3Arrows">
        <cfvo type="percent" val="0"/>
        <cfvo type="formula" val="$BM$55"/>
        <cfvo type="formula" val="$BM$55" gte="0"/>
      </iconSet>
    </cfRule>
  </conditionalFormatting>
  <conditionalFormatting sqref="BL54">
    <cfRule type="iconSet" priority="806">
      <iconSet iconSet="3Arrows">
        <cfvo type="percent" val="0"/>
        <cfvo type="formula" val="$BM$54"/>
        <cfvo type="formula" val="$BM$54" gte="0"/>
      </iconSet>
    </cfRule>
  </conditionalFormatting>
  <conditionalFormatting sqref="BL53">
    <cfRule type="iconSet" priority="805">
      <iconSet iconSet="3Arrows">
        <cfvo type="percent" val="0"/>
        <cfvo type="formula" val="$BM$53"/>
        <cfvo type="formula" val="$BM$53" gte="0"/>
      </iconSet>
    </cfRule>
  </conditionalFormatting>
  <conditionalFormatting sqref="BL52">
    <cfRule type="iconSet" priority="804">
      <iconSet iconSet="3Arrows">
        <cfvo type="percent" val="0"/>
        <cfvo type="formula" val="$BM$52"/>
        <cfvo type="formula" val="$BM$52" gte="0"/>
      </iconSet>
    </cfRule>
  </conditionalFormatting>
  <conditionalFormatting sqref="BL51">
    <cfRule type="iconSet" priority="803">
      <iconSet iconSet="3Arrows">
        <cfvo type="percent" val="0"/>
        <cfvo type="formula" val="$BM$51"/>
        <cfvo type="formula" val="$BM$51" gte="0"/>
      </iconSet>
    </cfRule>
  </conditionalFormatting>
  <conditionalFormatting sqref="BL49">
    <cfRule type="iconSet" priority="801">
      <iconSet iconSet="3Arrows">
        <cfvo type="percent" val="0"/>
        <cfvo type="formula" val="$BM$49"/>
        <cfvo type="formula" val="$BM$49" gte="0"/>
      </iconSet>
    </cfRule>
  </conditionalFormatting>
  <conditionalFormatting sqref="BL48">
    <cfRule type="iconSet" priority="800">
      <iconSet iconSet="3Arrows">
        <cfvo type="percent" val="0"/>
        <cfvo type="formula" val="$BM$48"/>
        <cfvo type="formula" val="$BM$48" gte="0"/>
      </iconSet>
    </cfRule>
  </conditionalFormatting>
  <conditionalFormatting sqref="BL47">
    <cfRule type="iconSet" priority="799">
      <iconSet iconSet="3Arrows">
        <cfvo type="percent" val="0"/>
        <cfvo type="formula" val="$BM$47"/>
        <cfvo type="formula" val="$BM$47" gte="0"/>
      </iconSet>
    </cfRule>
  </conditionalFormatting>
  <conditionalFormatting sqref="BL46">
    <cfRule type="iconSet" priority="798">
      <iconSet iconSet="3Arrows">
        <cfvo type="percent" val="0"/>
        <cfvo type="formula" val="$BM$46"/>
        <cfvo type="formula" val="$BM$46"/>
      </iconSet>
    </cfRule>
  </conditionalFormatting>
  <conditionalFormatting sqref="BL45">
    <cfRule type="iconSet" priority="797">
      <iconSet iconSet="3Arrows">
        <cfvo type="percent" val="0"/>
        <cfvo type="formula" val="$BM$45"/>
        <cfvo type="formula" val="$BM$45" gte="0"/>
      </iconSet>
    </cfRule>
  </conditionalFormatting>
  <conditionalFormatting sqref="BL44">
    <cfRule type="iconSet" priority="796">
      <iconSet iconSet="3Arrows">
        <cfvo type="percent" val="0"/>
        <cfvo type="formula" val="$BM$44"/>
        <cfvo type="formula" val="$BM$44" gte="0"/>
      </iconSet>
    </cfRule>
  </conditionalFormatting>
  <conditionalFormatting sqref="BL43">
    <cfRule type="iconSet" priority="795">
      <iconSet iconSet="3Arrows">
        <cfvo type="percent" val="0"/>
        <cfvo type="formula" val="$BM$43"/>
        <cfvo type="formula" val="$BM$43" gte="0"/>
      </iconSet>
    </cfRule>
  </conditionalFormatting>
  <conditionalFormatting sqref="BL42">
    <cfRule type="iconSet" priority="794">
      <iconSet iconSet="3Arrows">
        <cfvo type="percent" val="0"/>
        <cfvo type="formula" val="$BM$42"/>
        <cfvo type="formula" val="$BM$42" gte="0"/>
      </iconSet>
    </cfRule>
  </conditionalFormatting>
  <conditionalFormatting sqref="BL39">
    <cfRule type="iconSet" priority="793">
      <iconSet iconSet="3Arrows">
        <cfvo type="percent" val="0"/>
        <cfvo type="formula" val="$BM$39"/>
        <cfvo type="formula" val="$BM$39" gte="0"/>
      </iconSet>
    </cfRule>
  </conditionalFormatting>
  <conditionalFormatting sqref="BL37">
    <cfRule type="iconSet" priority="792">
      <iconSet iconSet="3Arrows">
        <cfvo type="percent" val="0"/>
        <cfvo type="formula" val="$BM$37"/>
        <cfvo type="formula" val="$BM$37" gte="0"/>
      </iconSet>
    </cfRule>
  </conditionalFormatting>
  <conditionalFormatting sqref="BL36">
    <cfRule type="iconSet" priority="791">
      <iconSet iconSet="3Arrows">
        <cfvo type="percent" val="0"/>
        <cfvo type="formula" val="$BM$36"/>
        <cfvo type="formula" val="$BM$36" gte="0"/>
      </iconSet>
    </cfRule>
  </conditionalFormatting>
  <conditionalFormatting sqref="BL35">
    <cfRule type="iconSet" priority="790">
      <iconSet iconSet="3Arrows">
        <cfvo type="percent" val="0"/>
        <cfvo type="formula" val="$BM$35"/>
        <cfvo type="formula" val="$BM$35" gte="0"/>
      </iconSet>
    </cfRule>
  </conditionalFormatting>
  <conditionalFormatting sqref="AN9">
    <cfRule type="iconSet" priority="788">
      <iconSet iconSet="3Arrows">
        <cfvo type="percent" val="0"/>
        <cfvo type="formula" val="$AP$9"/>
        <cfvo type="formula" val="$AP$9" gte="0"/>
      </iconSet>
    </cfRule>
  </conditionalFormatting>
  <conditionalFormatting sqref="AN10">
    <cfRule type="iconSet" priority="787">
      <iconSet iconSet="3Arrows">
        <cfvo type="percent" val="0"/>
        <cfvo type="formula" val="$AP$10"/>
        <cfvo type="formula" val="$AP$10" gte="0"/>
      </iconSet>
    </cfRule>
  </conditionalFormatting>
  <conditionalFormatting sqref="AQ10">
    <cfRule type="iconSet" priority="746">
      <iconSet iconSet="3Arrows">
        <cfvo type="percent" val="0"/>
        <cfvo type="formula" val="$AS$10"/>
        <cfvo type="formula" val="$AS$10" gte="0"/>
      </iconSet>
    </cfRule>
  </conditionalFormatting>
  <conditionalFormatting sqref="AN19">
    <cfRule type="iconSet" priority="737">
      <iconSet iconSet="3Arrows">
        <cfvo type="percent" val="0"/>
        <cfvo type="formula" val="$AP$19"/>
        <cfvo type="formula" val="$AP$19" gte="0"/>
      </iconSet>
    </cfRule>
  </conditionalFormatting>
  <conditionalFormatting sqref="AQ19">
    <cfRule type="iconSet" priority="708">
      <iconSet iconSet="3Arrows">
        <cfvo type="percent" val="0"/>
        <cfvo type="formula" val="$AS$19"/>
        <cfvo type="formula" val="$AS$19" gte="0"/>
      </iconSet>
    </cfRule>
  </conditionalFormatting>
  <conditionalFormatting sqref="AT10">
    <cfRule type="iconSet" priority="668">
      <iconSet iconSet="3Arrows">
        <cfvo type="percent" val="0"/>
        <cfvo type="formula" val="$AV$10"/>
        <cfvo type="formula" val="$AV$10" gte="0"/>
      </iconSet>
    </cfRule>
  </conditionalFormatting>
  <conditionalFormatting sqref="AT19">
    <cfRule type="iconSet" priority="667">
      <iconSet iconSet="3Arrows">
        <cfvo type="percent" val="0"/>
        <cfvo type="formula" val="$AV$19"/>
        <cfvo type="formula" val="$AV$19" gte="0"/>
      </iconSet>
    </cfRule>
  </conditionalFormatting>
  <conditionalFormatting sqref="AW10">
    <cfRule type="iconSet" priority="661">
      <iconSet iconSet="3Arrows">
        <cfvo type="percent" val="0"/>
        <cfvo type="formula" val="$AY$10"/>
        <cfvo type="formula" val="$AY$10" gte="0"/>
      </iconSet>
    </cfRule>
  </conditionalFormatting>
  <conditionalFormatting sqref="AW19">
    <cfRule type="iconSet" priority="650">
      <iconSet iconSet="3Arrows">
        <cfvo type="percent" val="0"/>
        <cfvo type="formula" val="$AY$19"/>
        <cfvo type="formula" val="$AY$19" gte="0"/>
      </iconSet>
    </cfRule>
  </conditionalFormatting>
  <conditionalFormatting sqref="AW20">
    <cfRule type="iconSet" priority="647">
      <iconSet iconSet="3Arrows">
        <cfvo type="percent" val="0"/>
        <cfvo type="formula" val="$AY$20"/>
        <cfvo type="formula" val="$AY$20" gte="0"/>
      </iconSet>
    </cfRule>
  </conditionalFormatting>
  <conditionalFormatting sqref="AZ10">
    <cfRule type="iconSet" priority="615">
      <iconSet iconSet="3Arrows">
        <cfvo type="percent" val="0"/>
        <cfvo type="formula" val="$BB$10"/>
        <cfvo type="formula" val="$BB$10" gte="0"/>
      </iconSet>
    </cfRule>
  </conditionalFormatting>
  <conditionalFormatting sqref="AZ19">
    <cfRule type="iconSet" priority="606">
      <iconSet iconSet="3Arrows">
        <cfvo type="percent" val="0"/>
        <cfvo type="formula" val="$BB$19"/>
        <cfvo type="formula" val="$BB$19" gte="0"/>
      </iconSet>
    </cfRule>
  </conditionalFormatting>
  <conditionalFormatting sqref="BC10">
    <cfRule type="iconSet" priority="574">
      <iconSet iconSet="3Arrows">
        <cfvo type="percent" val="0"/>
        <cfvo type="formula" val="$BE$10"/>
        <cfvo type="formula" val="$BE$10" gte="0"/>
      </iconSet>
    </cfRule>
  </conditionalFormatting>
  <conditionalFormatting sqref="BC19">
    <cfRule type="iconSet" priority="565">
      <iconSet iconSet="3Arrows">
        <cfvo type="percent" val="0"/>
        <cfvo type="formula" val="$BE$19"/>
        <cfvo type="formula" val="$BE$19" gte="0"/>
      </iconSet>
    </cfRule>
  </conditionalFormatting>
  <conditionalFormatting sqref="BF10">
    <cfRule type="iconSet" priority="531">
      <iconSet iconSet="3Arrows">
        <cfvo type="percent" val="0"/>
        <cfvo type="formula" val="$BH$10"/>
        <cfvo type="formula" val="$BH$10" gte="0"/>
      </iconSet>
    </cfRule>
  </conditionalFormatting>
  <conditionalFormatting sqref="BF19">
    <cfRule type="iconSet" priority="520">
      <iconSet iconSet="3Arrows">
        <cfvo type="percent" val="0"/>
        <cfvo type="formula" val="$BH$19"/>
        <cfvo type="formula" val="$BH$19" gte="0"/>
      </iconSet>
    </cfRule>
  </conditionalFormatting>
  <conditionalFormatting sqref="BF39">
    <cfRule type="iconSet" priority="497">
      <iconSet iconSet="3Arrows">
        <cfvo type="percent" val="0"/>
        <cfvo type="formula" val="$BH$39"/>
        <cfvo type="formula" val="$BH$39" gte="0"/>
      </iconSet>
    </cfRule>
  </conditionalFormatting>
  <conditionalFormatting sqref="BI10">
    <cfRule type="iconSet" priority="487">
      <iconSet iconSet="3Arrows">
        <cfvo type="percent" val="0"/>
        <cfvo type="formula" val="$BK$10"/>
        <cfvo type="formula" val="$BK$10" gte="0"/>
      </iconSet>
    </cfRule>
  </conditionalFormatting>
  <conditionalFormatting sqref="BI19">
    <cfRule type="iconSet" priority="476">
      <iconSet iconSet="3Arrows">
        <cfvo type="percent" val="0"/>
        <cfvo type="formula" val="$BK$19"/>
        <cfvo type="formula" val="$BK$19" gte="0"/>
      </iconSet>
    </cfRule>
  </conditionalFormatting>
  <conditionalFormatting sqref="BI39">
    <cfRule type="iconSet" priority="453">
      <iconSet iconSet="3Arrows">
        <cfvo type="percent" val="0"/>
        <cfvo type="formula" val="$BK$39"/>
        <cfvo type="formula" val="$BK$39" gte="0"/>
      </iconSet>
    </cfRule>
  </conditionalFormatting>
  <conditionalFormatting sqref="BL8">
    <cfRule type="iconSet" priority="450">
      <iconSet iconSet="3Arrows">
        <cfvo type="percent" val="0"/>
        <cfvo type="formula" val="$BM$8"/>
        <cfvo type="formula" val="$BM$8" gte="0"/>
      </iconSet>
    </cfRule>
  </conditionalFormatting>
  <conditionalFormatting sqref="BL10">
    <cfRule type="iconSet" priority="449">
      <iconSet iconSet="3Arrows">
        <cfvo type="percent" val="0"/>
        <cfvo type="formula" val="$BM$10"/>
        <cfvo type="formula" val="$BM$10" gte="0"/>
      </iconSet>
    </cfRule>
  </conditionalFormatting>
  <conditionalFormatting sqref="BL11">
    <cfRule type="iconSet" priority="448">
      <iconSet iconSet="3Arrows">
        <cfvo type="percent" val="0"/>
        <cfvo type="formula" val="$BM$11"/>
        <cfvo type="formula" val="$BM$11" gte="0"/>
      </iconSet>
    </cfRule>
  </conditionalFormatting>
  <conditionalFormatting sqref="BL14">
    <cfRule type="iconSet" priority="447">
      <iconSet iconSet="3Arrows">
        <cfvo type="percent" val="0"/>
        <cfvo type="formula" val="$BM$14"/>
        <cfvo type="formula" val="$BM$14" gte="0"/>
      </iconSet>
    </cfRule>
  </conditionalFormatting>
  <conditionalFormatting sqref="BL15">
    <cfRule type="iconSet" priority="446">
      <iconSet iconSet="3Arrows">
        <cfvo type="percent" val="0"/>
        <cfvo type="formula" val="$BM$15"/>
        <cfvo type="formula" val="$BM$15" gte="0"/>
      </iconSet>
    </cfRule>
  </conditionalFormatting>
  <conditionalFormatting sqref="BL16">
    <cfRule type="iconSet" priority="445">
      <iconSet iconSet="3Arrows">
        <cfvo type="percent" val="0"/>
        <cfvo type="formula" val="$BM$16"/>
        <cfvo type="formula" val="$BM$16" gte="0"/>
      </iconSet>
    </cfRule>
  </conditionalFormatting>
  <conditionalFormatting sqref="BL19">
    <cfRule type="iconSet" priority="444">
      <iconSet iconSet="3Arrows">
        <cfvo type="percent" val="0"/>
        <cfvo type="formula" val="$BM$19"/>
        <cfvo type="formula" val="$BM$19" gte="0"/>
      </iconSet>
    </cfRule>
  </conditionalFormatting>
  <conditionalFormatting sqref="BL22">
    <cfRule type="iconSet" priority="443">
      <iconSet iconSet="3Arrows">
        <cfvo type="percent" val="0"/>
        <cfvo type="formula" val="$BM$22"/>
        <cfvo type="formula" val="$BM$22" gte="0"/>
      </iconSet>
    </cfRule>
  </conditionalFormatting>
  <conditionalFormatting sqref="BL24">
    <cfRule type="iconSet" priority="442">
      <iconSet iconSet="3Arrows">
        <cfvo type="percent" val="0"/>
        <cfvo type="formula" val="$BM$24"/>
        <cfvo type="formula" val="$BM$24" gte="0"/>
      </iconSet>
    </cfRule>
  </conditionalFormatting>
  <conditionalFormatting sqref="BL25">
    <cfRule type="iconSet" priority="441">
      <iconSet iconSet="3Arrows">
        <cfvo type="percent" val="0"/>
        <cfvo type="formula" val="$BM$25"/>
        <cfvo type="formula" val="$BM$25" gte="0"/>
      </iconSet>
    </cfRule>
  </conditionalFormatting>
  <conditionalFormatting sqref="BL27">
    <cfRule type="iconSet" priority="440">
      <iconSet iconSet="3Arrows">
        <cfvo type="percent" val="0"/>
        <cfvo type="formula" val="$BM$27"/>
        <cfvo type="formula" val="$BM$27" gte="0"/>
      </iconSet>
    </cfRule>
  </conditionalFormatting>
  <conditionalFormatting sqref="BL28">
    <cfRule type="iconSet" priority="439">
      <iconSet iconSet="3Arrows">
        <cfvo type="percent" val="0"/>
        <cfvo type="formula" val="$BM$28"/>
        <cfvo type="formula" val="$BM$28" gte="0"/>
      </iconSet>
    </cfRule>
  </conditionalFormatting>
  <conditionalFormatting sqref="BL31">
    <cfRule type="iconSet" priority="438">
      <iconSet iconSet="3Arrows">
        <cfvo type="percent" val="0"/>
        <cfvo type="formula" val="$BM$31"/>
        <cfvo type="formula" val="$BM$31" gte="0"/>
      </iconSet>
    </cfRule>
  </conditionalFormatting>
  <conditionalFormatting sqref="BL32">
    <cfRule type="iconSet" priority="437">
      <iconSet iconSet="3Arrows">
        <cfvo type="percent" val="0"/>
        <cfvo type="formula" val="$BM$32"/>
        <cfvo type="formula" val="$BM$32" gte="0"/>
      </iconSet>
    </cfRule>
  </conditionalFormatting>
  <conditionalFormatting sqref="BL33">
    <cfRule type="iconSet" priority="436">
      <iconSet iconSet="3Arrows">
        <cfvo type="percent" val="0"/>
        <cfvo type="formula" val="$BM$33"/>
        <cfvo type="formula" val="$BM$33" gte="0"/>
      </iconSet>
    </cfRule>
  </conditionalFormatting>
  <conditionalFormatting sqref="BL38">
    <cfRule type="iconSet" priority="435">
      <iconSet iconSet="3Arrows">
        <cfvo type="percent" val="0"/>
        <cfvo type="formula" val="$BM$38"/>
        <cfvo type="formula" val="$BM$38" gte="0"/>
      </iconSet>
    </cfRule>
  </conditionalFormatting>
  <conditionalFormatting sqref="BL40">
    <cfRule type="iconSet" priority="434">
      <iconSet iconSet="3Arrows">
        <cfvo type="percent" val="0"/>
        <cfvo type="formula" val="$BM$40"/>
        <cfvo type="formula" val="$BM$40" gte="0"/>
      </iconSet>
    </cfRule>
  </conditionalFormatting>
  <conditionalFormatting sqref="BL41">
    <cfRule type="iconSet" priority="433">
      <iconSet iconSet="3Arrows">
        <cfvo type="percent" val="0"/>
        <cfvo type="formula" val="$BM$41"/>
        <cfvo type="formula" val="$BM$41" gte="0"/>
      </iconSet>
    </cfRule>
  </conditionalFormatting>
  <conditionalFormatting sqref="BL56">
    <cfRule type="iconSet" priority="432">
      <iconSet iconSet="3Arrows">
        <cfvo type="percent" val="0"/>
        <cfvo type="formula" val="$BM$56"/>
        <cfvo type="formula" val="$BM$56" gte="0"/>
      </iconSet>
    </cfRule>
  </conditionalFormatting>
  <conditionalFormatting sqref="BU69:BU73">
    <cfRule type="iconSet" priority="431">
      <iconSet iconSet="3Arrows">
        <cfvo type="percent" val="0"/>
        <cfvo type="formula" val="$BT$69"/>
        <cfvo type="formula" val="$BT$69" gte="0"/>
      </iconSet>
    </cfRule>
  </conditionalFormatting>
  <conditionalFormatting sqref="BW69:BW73">
    <cfRule type="iconSet" priority="430">
      <iconSet iconSet="3Arrows">
        <cfvo type="percent" val="0"/>
        <cfvo type="formula" val="$BT$69"/>
        <cfvo type="formula" val="$BT$69" gte="0"/>
      </iconSet>
    </cfRule>
  </conditionalFormatting>
  <conditionalFormatting sqref="BY69:BY73">
    <cfRule type="iconSet" priority="429">
      <iconSet iconSet="3Arrows">
        <cfvo type="percent" val="0"/>
        <cfvo type="formula" val="$BT$69"/>
        <cfvo type="formula" val="$BT$69" gte="0"/>
      </iconSet>
    </cfRule>
  </conditionalFormatting>
  <conditionalFormatting sqref="CA69:CA73">
    <cfRule type="iconSet" priority="428">
      <iconSet iconSet="3Arrows">
        <cfvo type="percent" val="0"/>
        <cfvo type="formula" val="$BT$69"/>
        <cfvo type="formula" val="$BT$69" gte="0"/>
      </iconSet>
    </cfRule>
  </conditionalFormatting>
  <conditionalFormatting sqref="CC69:CC73">
    <cfRule type="iconSet" priority="427">
      <iconSet iconSet="3Arrows">
        <cfvo type="percent" val="0"/>
        <cfvo type="formula" val="$BT$69"/>
        <cfvo type="formula" val="$BT$69" gte="0"/>
      </iconSet>
    </cfRule>
  </conditionalFormatting>
  <conditionalFormatting sqref="CE69:CE73">
    <cfRule type="iconSet" priority="426">
      <iconSet iconSet="3Arrows">
        <cfvo type="percent" val="0"/>
        <cfvo type="formula" val="$BT$69"/>
        <cfvo type="formula" val="$BT$69" gte="0"/>
      </iconSet>
    </cfRule>
  </conditionalFormatting>
  <conditionalFormatting sqref="BS6:BS49 BS61 BS51:BS57">
    <cfRule type="iconSet" priority="425">
      <iconSet iconSet="3Arrows">
        <cfvo type="percent" val="0"/>
        <cfvo type="formula" val="$BT$69"/>
        <cfvo type="formula" val="$BT$69" gte="0"/>
      </iconSet>
    </cfRule>
  </conditionalFormatting>
  <conditionalFormatting sqref="BU6:BU49 BU61 BU51:BU57">
    <cfRule type="iconSet" priority="424">
      <iconSet iconSet="3Arrows">
        <cfvo type="percent" val="0"/>
        <cfvo type="formula" val="$BT$69"/>
        <cfvo type="formula" val="$BT$69" gte="0"/>
      </iconSet>
    </cfRule>
  </conditionalFormatting>
  <conditionalFormatting sqref="BW6:BW49 BW51:BW57 BW61">
    <cfRule type="iconSet" priority="423">
      <iconSet iconSet="3Arrows">
        <cfvo type="percent" val="0"/>
        <cfvo type="formula" val="$BT$69"/>
        <cfvo type="formula" val="$BT$69" gte="0"/>
      </iconSet>
    </cfRule>
  </conditionalFormatting>
  <conditionalFormatting sqref="BY6:BY49 BY51:BY57 BY61">
    <cfRule type="iconSet" priority="422">
      <iconSet iconSet="3Arrows">
        <cfvo type="percent" val="0"/>
        <cfvo type="formula" val="$BT$69"/>
        <cfvo type="formula" val="$BT$69" gte="0"/>
      </iconSet>
    </cfRule>
  </conditionalFormatting>
  <conditionalFormatting sqref="CA6:CA49 CA51:CA57 CA61">
    <cfRule type="iconSet" priority="421">
      <iconSet iconSet="3Arrows">
        <cfvo type="percent" val="0"/>
        <cfvo type="formula" val="$BT$69"/>
        <cfvo type="formula" val="$BT$69" gte="0"/>
      </iconSet>
    </cfRule>
  </conditionalFormatting>
  <conditionalFormatting sqref="CC6:CC49 CC51:CC57 CC61">
    <cfRule type="iconSet" priority="420">
      <iconSet iconSet="3Arrows">
        <cfvo type="percent" val="0"/>
        <cfvo type="formula" val="$BT$69"/>
        <cfvo type="formula" val="$BT$69" gte="0"/>
      </iconSet>
    </cfRule>
  </conditionalFormatting>
  <conditionalFormatting sqref="CE6:CE49 CE51:CE57 CE61">
    <cfRule type="iconSet" priority="419">
      <iconSet iconSet="3Arrows">
        <cfvo type="percent" val="0"/>
        <cfvo type="formula" val="$BT$69"/>
        <cfvo type="formula" val="$BT$69" gte="0"/>
      </iconSet>
    </cfRule>
  </conditionalFormatting>
  <conditionalFormatting sqref="CG73">
    <cfRule type="iconSet" priority="413">
      <iconSet iconSet="3Arrows">
        <cfvo type="percent" val="0"/>
        <cfvo type="formula" val="$BT$69"/>
        <cfvo type="formula" val="$BT$69" gte="0"/>
      </iconSet>
    </cfRule>
  </conditionalFormatting>
  <conditionalFormatting sqref="CG15">
    <cfRule type="iconSet" priority="393">
      <iconSet iconSet="3Arrows">
        <cfvo type="percent" val="0"/>
        <cfvo type="formula" val="$CH$15"/>
        <cfvo type="formula" val="$CH$15" gte="0"/>
      </iconSet>
    </cfRule>
  </conditionalFormatting>
  <conditionalFormatting sqref="CG17">
    <cfRule type="iconSet" priority="392">
      <iconSet iconSet="3Arrows">
        <cfvo type="percent" val="0"/>
        <cfvo type="formula" val="$CH$17"/>
        <cfvo type="formula" val="$CH$17" gte="0"/>
      </iconSet>
    </cfRule>
  </conditionalFormatting>
  <conditionalFormatting sqref="CG28">
    <cfRule type="iconSet" priority="351">
      <iconSet iconSet="3Arrows">
        <cfvo type="percent" val="0"/>
        <cfvo type="formula" val="$CH$28"/>
        <cfvo type="formula" val="$CH$28" gte="0"/>
      </iconSet>
    </cfRule>
  </conditionalFormatting>
  <conditionalFormatting sqref="CG33">
    <cfRule type="iconSet" priority="350">
      <iconSet iconSet="3Arrows">
        <cfvo type="percent" val="0"/>
        <cfvo type="formula" val="$CH$33"/>
        <cfvo type="formula" val="$CH$33" gte="0"/>
      </iconSet>
    </cfRule>
  </conditionalFormatting>
  <conditionalFormatting sqref="CG51">
    <cfRule type="iconSet" priority="348">
      <iconSet iconSet="3Arrows">
        <cfvo type="percent" val="0"/>
        <cfvo type="formula" val="$CH$51"/>
        <cfvo type="formula" val="$CH$51" gte="0"/>
      </iconSet>
    </cfRule>
  </conditionalFormatting>
  <conditionalFormatting sqref="CG55">
    <cfRule type="iconSet" priority="347">
      <iconSet iconSet="3Arrows">
        <cfvo type="percent" val="0"/>
        <cfvo type="formula" val="$CH$55"/>
        <cfvo type="formula" val="$CH$55" gte="0"/>
      </iconSet>
    </cfRule>
  </conditionalFormatting>
  <conditionalFormatting sqref="CG56">
    <cfRule type="iconSet" priority="346">
      <iconSet iconSet="3Arrows">
        <cfvo type="percent" val="0"/>
        <cfvo type="formula" val="$CH$56"/>
        <cfvo type="formula" val="$CH$56" gte="0"/>
      </iconSet>
    </cfRule>
  </conditionalFormatting>
  <conditionalFormatting sqref="AE6">
    <cfRule type="iconSet" priority="345">
      <iconSet iconSet="3Arrows">
        <cfvo type="percent" val="0"/>
        <cfvo type="formula" val="$AF$6"/>
        <cfvo type="formula" val="$AF$6" gte="0"/>
      </iconSet>
    </cfRule>
  </conditionalFormatting>
  <conditionalFormatting sqref="AE7">
    <cfRule type="iconSet" priority="344">
      <iconSet iconSet="3Arrows">
        <cfvo type="percent" val="0"/>
        <cfvo type="formula" val="$AF$7"/>
        <cfvo type="formula" val="$AF$7" gte="0"/>
      </iconSet>
    </cfRule>
  </conditionalFormatting>
  <conditionalFormatting sqref="AE9">
    <cfRule type="iconSet" priority="342">
      <iconSet iconSet="3Arrows">
        <cfvo type="percent" val="0"/>
        <cfvo type="formula" val="$AF$9"/>
        <cfvo type="formula" val="$AF$9" gte="0"/>
      </iconSet>
    </cfRule>
  </conditionalFormatting>
  <conditionalFormatting sqref="AE10">
    <cfRule type="iconSet" priority="341">
      <iconSet iconSet="3Arrows">
        <cfvo type="percent" val="0"/>
        <cfvo type="formula" val="$AF$10"/>
        <cfvo type="formula" val="$AF$10" gte="0"/>
      </iconSet>
    </cfRule>
  </conditionalFormatting>
  <conditionalFormatting sqref="CG49">
    <cfRule type="iconSet" priority="288">
      <iconSet iconSet="3Arrows">
        <cfvo type="percent" val="0"/>
        <cfvo type="formula" val="$CH$49"/>
        <cfvo type="formula" val="$CH$49" gte="0"/>
      </iconSet>
    </cfRule>
  </conditionalFormatting>
  <conditionalFormatting sqref="CI15">
    <cfRule type="iconSet" priority="286">
      <iconSet iconSet="3Arrows">
        <cfvo type="percent" val="0"/>
        <cfvo type="formula" val="$CJ$15"/>
        <cfvo type="formula" val="$CJ$15" gte="0"/>
      </iconSet>
    </cfRule>
  </conditionalFormatting>
  <conditionalFormatting sqref="CI28">
    <cfRule type="iconSet" priority="285">
      <iconSet iconSet="3Arrows">
        <cfvo type="percent" val="0"/>
        <cfvo type="formula" val="$CJ$28"/>
        <cfvo type="formula" val="$CJ$28" gte="0"/>
      </iconSet>
    </cfRule>
  </conditionalFormatting>
  <conditionalFormatting sqref="CI33">
    <cfRule type="iconSet" priority="284">
      <iconSet iconSet="3Arrows">
        <cfvo type="percent" val="0"/>
        <cfvo type="formula" val="$CJ$33"/>
        <cfvo type="formula" val="$CJ$33" gte="0"/>
      </iconSet>
    </cfRule>
  </conditionalFormatting>
  <conditionalFormatting sqref="CI49">
    <cfRule type="iconSet" priority="283">
      <iconSet iconSet="3Arrows">
        <cfvo type="percent" val="0"/>
        <cfvo type="formula" val="$CJ$49"/>
        <cfvo type="formula" val="$CJ$49" gte="0"/>
      </iconSet>
    </cfRule>
  </conditionalFormatting>
  <conditionalFormatting sqref="CI51">
    <cfRule type="iconSet" priority="282">
      <iconSet iconSet="3Arrows">
        <cfvo type="percent" val="0"/>
        <cfvo type="formula" val="$CJ$51"/>
        <cfvo type="formula" val="$CJ$51" gte="0"/>
      </iconSet>
    </cfRule>
  </conditionalFormatting>
  <conditionalFormatting sqref="CI55">
    <cfRule type="iconSet" priority="281">
      <iconSet iconSet="3Arrows">
        <cfvo type="percent" val="0"/>
        <cfvo type="formula" val="$CJ$55"/>
        <cfvo type="formula" val="$CJ$55" gte="0"/>
      </iconSet>
    </cfRule>
  </conditionalFormatting>
  <conditionalFormatting sqref="CI56">
    <cfRule type="iconSet" priority="280">
      <iconSet iconSet="3Arrows">
        <cfvo type="percent" val="0"/>
        <cfvo type="formula" val="$CJ$56"/>
        <cfvo type="formula" val="$CJ$56" gte="0"/>
      </iconSet>
    </cfRule>
  </conditionalFormatting>
  <conditionalFormatting sqref="AE12">
    <cfRule type="iconSet" priority="279">
      <iconSet iconSet="3Arrows">
        <cfvo type="percent" val="0"/>
        <cfvo type="formula" val="$AF$12"/>
        <cfvo type="formula" val="$AF$12" gte="0"/>
      </iconSet>
    </cfRule>
  </conditionalFormatting>
  <conditionalFormatting sqref="AE13">
    <cfRule type="iconSet" priority="278">
      <iconSet iconSet="3Arrows">
        <cfvo type="percent" val="0"/>
        <cfvo type="formula" val="$AF$13"/>
        <cfvo type="formula" val="$AF$13" gte="0"/>
      </iconSet>
    </cfRule>
  </conditionalFormatting>
  <conditionalFormatting sqref="AE16">
    <cfRule type="iconSet" priority="276">
      <iconSet iconSet="3Arrows">
        <cfvo type="percent" val="0"/>
        <cfvo type="formula" val="$AF$16"/>
        <cfvo type="formula" val="$AF$16" gte="0"/>
      </iconSet>
    </cfRule>
  </conditionalFormatting>
  <conditionalFormatting sqref="AE17">
    <cfRule type="iconSet" priority="275">
      <iconSet iconSet="3Arrows">
        <cfvo type="percent" val="0"/>
        <cfvo type="formula" val="$AF$17"/>
        <cfvo type="formula" val="$AF$17" gte="0"/>
      </iconSet>
    </cfRule>
  </conditionalFormatting>
  <conditionalFormatting sqref="AE18">
    <cfRule type="iconSet" priority="274">
      <iconSet iconSet="3Arrows">
        <cfvo type="percent" val="0"/>
        <cfvo type="formula" val="$AF$18"/>
        <cfvo type="formula" val="$AF$18" gte="0"/>
      </iconSet>
    </cfRule>
  </conditionalFormatting>
  <conditionalFormatting sqref="AE20">
    <cfRule type="iconSet" priority="272">
      <iconSet iconSet="3Arrows">
        <cfvo type="percent" val="0"/>
        <cfvo type="formula" val="$AF$20"/>
        <cfvo type="formula" val="$AF$20" gte="0"/>
      </iconSet>
    </cfRule>
  </conditionalFormatting>
  <conditionalFormatting sqref="AE21">
    <cfRule type="iconSet" priority="271">
      <iconSet iconSet="3Arrows">
        <cfvo type="percent" val="0"/>
        <cfvo type="formula" val="$AF$21"/>
        <cfvo type="formula" val="$AF$21" gte="0"/>
      </iconSet>
    </cfRule>
  </conditionalFormatting>
  <conditionalFormatting sqref="AE22">
    <cfRule type="iconSet" priority="270">
      <iconSet iconSet="3Arrows">
        <cfvo type="percent" val="0"/>
        <cfvo type="formula" val="$AF$22"/>
        <cfvo type="formula" val="$AF$22" gte="0"/>
      </iconSet>
    </cfRule>
  </conditionalFormatting>
  <conditionalFormatting sqref="AE23">
    <cfRule type="iconSet" priority="269">
      <iconSet iconSet="3Arrows">
        <cfvo type="percent" val="0"/>
        <cfvo type="formula" val="$AF$23"/>
        <cfvo type="formula" val="$AF$23" gte="0"/>
      </iconSet>
    </cfRule>
  </conditionalFormatting>
  <conditionalFormatting sqref="AE24">
    <cfRule type="iconSet" priority="268">
      <iconSet iconSet="3Arrows">
        <cfvo type="percent" val="0"/>
        <cfvo type="formula" val="$AF$24"/>
        <cfvo type="formula" val="$AF$24" gte="0"/>
      </iconSet>
    </cfRule>
  </conditionalFormatting>
  <conditionalFormatting sqref="AE26">
    <cfRule type="iconSet" priority="266">
      <iconSet iconSet="3Arrows">
        <cfvo type="percent" val="0"/>
        <cfvo type="formula" val="$AF$26"/>
        <cfvo type="formula" val="$AF$26" gte="0"/>
      </iconSet>
    </cfRule>
  </conditionalFormatting>
  <conditionalFormatting sqref="AE27">
    <cfRule type="iconSet" priority="265">
      <iconSet iconSet="3Arrows">
        <cfvo type="percent" val="0"/>
        <cfvo type="formula" val="$AF$27"/>
        <cfvo type="formula" val="$AF$27" gte="0"/>
      </iconSet>
    </cfRule>
  </conditionalFormatting>
  <conditionalFormatting sqref="AE29">
    <cfRule type="iconSet" priority="264">
      <iconSet iconSet="3Arrows">
        <cfvo type="percent" val="0"/>
        <cfvo type="formula" val="$AF$29"/>
        <cfvo type="formula" val="$AF$29" gte="0"/>
      </iconSet>
    </cfRule>
  </conditionalFormatting>
  <conditionalFormatting sqref="AE30">
    <cfRule type="iconSet" priority="263">
      <iconSet iconSet="3Arrows">
        <cfvo type="percent" val="0"/>
        <cfvo type="formula" val="$AF$30"/>
        <cfvo type="formula" val="$AF$30" gte="0"/>
      </iconSet>
    </cfRule>
  </conditionalFormatting>
  <conditionalFormatting sqref="AE32">
    <cfRule type="iconSet" priority="261">
      <iconSet iconSet="3Arrows">
        <cfvo type="percent" val="0"/>
        <cfvo type="formula" val="$AF$32"/>
        <cfvo type="formula" val="$AF$32" gte="0"/>
      </iconSet>
    </cfRule>
  </conditionalFormatting>
  <conditionalFormatting sqref="AE34">
    <cfRule type="iconSet" priority="260">
      <iconSet iconSet="3Arrows">
        <cfvo type="percent" val="0"/>
        <cfvo type="formula" val="$AF$34"/>
        <cfvo type="formula" val="$AF$34" gte="0"/>
      </iconSet>
    </cfRule>
  </conditionalFormatting>
  <conditionalFormatting sqref="AE35">
    <cfRule type="iconSet" priority="259">
      <iconSet iconSet="3Arrows">
        <cfvo type="percent" val="0"/>
        <cfvo type="formula" val="$AF$35"/>
        <cfvo type="formula" val="$AF$35" gte="0"/>
      </iconSet>
    </cfRule>
  </conditionalFormatting>
  <conditionalFormatting sqref="AE36">
    <cfRule type="iconSet" priority="258">
      <iconSet iconSet="3Arrows">
        <cfvo type="percent" val="0"/>
        <cfvo type="formula" val="$AF$36"/>
        <cfvo type="formula" val="$AF$36" gte="0"/>
      </iconSet>
    </cfRule>
  </conditionalFormatting>
  <conditionalFormatting sqref="AE37">
    <cfRule type="iconSet" priority="257">
      <iconSet iconSet="3Arrows">
        <cfvo type="percent" val="0"/>
        <cfvo type="formula" val="$AF$37"/>
        <cfvo type="formula" val="$AF$37" gte="0"/>
      </iconSet>
    </cfRule>
  </conditionalFormatting>
  <conditionalFormatting sqref="AE38">
    <cfRule type="iconSet" priority="256">
      <iconSet iconSet="3Arrows">
        <cfvo type="percent" val="0"/>
        <cfvo type="formula" val="$AF$38"/>
        <cfvo type="formula" val="$AF$38" gte="0"/>
      </iconSet>
    </cfRule>
  </conditionalFormatting>
  <conditionalFormatting sqref="AE39">
    <cfRule type="iconSet" priority="255">
      <iconSet iconSet="3Arrows">
        <cfvo type="percent" val="0"/>
        <cfvo type="formula" val="$AF$39"/>
        <cfvo type="formula" val="$AF$39" gte="0"/>
      </iconSet>
    </cfRule>
  </conditionalFormatting>
  <conditionalFormatting sqref="AE42">
    <cfRule type="iconSet" priority="252">
      <iconSet iconSet="3Arrows">
        <cfvo type="percent" val="0"/>
        <cfvo type="formula" val="$AF$42"/>
        <cfvo type="formula" val="$AF$42" gte="0"/>
      </iconSet>
    </cfRule>
  </conditionalFormatting>
  <conditionalFormatting sqref="AE43">
    <cfRule type="iconSet" priority="251">
      <iconSet iconSet="3Arrows">
        <cfvo type="percent" val="0"/>
        <cfvo type="formula" val="$AF$43"/>
        <cfvo type="formula" val="$AF$43" gte="0"/>
      </iconSet>
    </cfRule>
  </conditionalFormatting>
  <conditionalFormatting sqref="AE44">
    <cfRule type="iconSet" priority="250">
      <iconSet iconSet="3Arrows">
        <cfvo type="percent" val="0"/>
        <cfvo type="formula" val="$AF$44"/>
        <cfvo type="formula" val="$AF$44" gte="0"/>
      </iconSet>
    </cfRule>
  </conditionalFormatting>
  <conditionalFormatting sqref="AE45">
    <cfRule type="iconSet" priority="249">
      <iconSet iconSet="3Arrows">
        <cfvo type="percent" val="0"/>
        <cfvo type="formula" val="$AF$45"/>
        <cfvo type="formula" val="$AF$45" gte="0"/>
      </iconSet>
    </cfRule>
  </conditionalFormatting>
  <conditionalFormatting sqref="AE46">
    <cfRule type="iconSet" priority="248">
      <iconSet iconSet="3Arrows">
        <cfvo type="percent" val="0"/>
        <cfvo type="formula" val="$AF$46"/>
        <cfvo type="formula" val="$AF$46" gte="0"/>
      </iconSet>
    </cfRule>
  </conditionalFormatting>
  <conditionalFormatting sqref="AE47">
    <cfRule type="iconSet" priority="247">
      <iconSet iconSet="3Arrows">
        <cfvo type="percent" val="0"/>
        <cfvo type="formula" val="$AF$47"/>
        <cfvo type="formula" val="$AF$47" gte="0"/>
      </iconSet>
    </cfRule>
  </conditionalFormatting>
  <conditionalFormatting sqref="AE48">
    <cfRule type="iconSet" priority="246">
      <iconSet iconSet="3Arrows">
        <cfvo type="percent" val="0"/>
        <cfvo type="formula" val="$AF$48"/>
        <cfvo type="formula" val="$AF$48" gte="0"/>
      </iconSet>
    </cfRule>
  </conditionalFormatting>
  <conditionalFormatting sqref="AE49">
    <cfRule type="iconSet" priority="245">
      <iconSet iconSet="3Arrows">
        <cfvo type="percent" val="0"/>
        <cfvo type="formula" val="$AF$49"/>
        <cfvo type="formula" val="$AF$49" gte="0"/>
      </iconSet>
    </cfRule>
  </conditionalFormatting>
  <conditionalFormatting sqref="AE51">
    <cfRule type="iconSet" priority="244">
      <iconSet iconSet="3Arrows">
        <cfvo type="percent" val="0"/>
        <cfvo type="formula" val="$AF$51"/>
        <cfvo type="formula" val="$AF$51" gte="0"/>
      </iconSet>
    </cfRule>
  </conditionalFormatting>
  <conditionalFormatting sqref="AE52">
    <cfRule type="iconSet" priority="243">
      <iconSet iconSet="3Arrows">
        <cfvo type="percent" val="0"/>
        <cfvo type="formula" val="$AF$52"/>
        <cfvo type="formula" val="$AF$52" gte="0"/>
      </iconSet>
    </cfRule>
  </conditionalFormatting>
  <conditionalFormatting sqref="AE53">
    <cfRule type="iconSet" priority="242">
      <iconSet iconSet="3Arrows">
        <cfvo type="percent" val="0"/>
        <cfvo type="formula" val="$AF$53"/>
        <cfvo type="formula" val="$AF$53" gte="0"/>
      </iconSet>
    </cfRule>
  </conditionalFormatting>
  <conditionalFormatting sqref="AE54">
    <cfRule type="iconSet" priority="241">
      <iconSet iconSet="3Arrows">
        <cfvo type="percent" val="0"/>
        <cfvo type="formula" val="$AF$54"/>
        <cfvo type="formula" val="$AF$54" gte="0"/>
      </iconSet>
    </cfRule>
  </conditionalFormatting>
  <conditionalFormatting sqref="AE55">
    <cfRule type="iconSet" priority="240">
      <iconSet iconSet="3Arrows">
        <cfvo type="percent" val="0"/>
        <cfvo type="formula" val="$AF$55"/>
        <cfvo type="formula" val="$AF$55" gte="0"/>
      </iconSet>
    </cfRule>
  </conditionalFormatting>
  <conditionalFormatting sqref="AE56">
    <cfRule type="iconSet" priority="239">
      <iconSet iconSet="3Arrows">
        <cfvo type="percent" val="0"/>
        <cfvo type="formula" val="$AF$56"/>
        <cfvo type="formula" val="$AF$56" gte="0"/>
      </iconSet>
    </cfRule>
  </conditionalFormatting>
  <conditionalFormatting sqref="AE57">
    <cfRule type="iconSet" priority="238">
      <iconSet iconSet="3Arrows">
        <cfvo type="percent" val="0"/>
        <cfvo type="formula" val="$AF$57"/>
        <cfvo type="formula" val="$AF$57" gte="0"/>
      </iconSet>
    </cfRule>
  </conditionalFormatting>
  <conditionalFormatting sqref="AE61">
    <cfRule type="iconSet" priority="237">
      <iconSet iconSet="3Arrows">
        <cfvo type="percent" val="0"/>
        <cfvo type="formula" val="$AF$61"/>
        <cfvo type="formula" val="$AF$61" gte="0"/>
      </iconSet>
    </cfRule>
  </conditionalFormatting>
  <conditionalFormatting sqref="AE69">
    <cfRule type="iconSet" priority="236">
      <iconSet iconSet="3Arrows">
        <cfvo type="percent" val="0"/>
        <cfvo type="formula" val="$AF$69"/>
        <cfvo type="formula" val="$AF$69" gte="0"/>
      </iconSet>
    </cfRule>
  </conditionalFormatting>
  <conditionalFormatting sqref="AE70">
    <cfRule type="iconSet" priority="235">
      <iconSet iconSet="3Arrows">
        <cfvo type="percent" val="0"/>
        <cfvo type="formula" val="$AF$70"/>
        <cfvo type="formula" val="$AF$70" gte="0"/>
      </iconSet>
    </cfRule>
  </conditionalFormatting>
  <conditionalFormatting sqref="AE71">
    <cfRule type="iconSet" priority="234">
      <iconSet iconSet="3Arrows">
        <cfvo type="percent" val="0"/>
        <cfvo type="formula" val="$AF$71"/>
        <cfvo type="formula" val="$AF$71" gte="0"/>
      </iconSet>
    </cfRule>
  </conditionalFormatting>
  <conditionalFormatting sqref="AE72">
    <cfRule type="iconSet" priority="233">
      <iconSet iconSet="3Arrows">
        <cfvo type="percent" val="0"/>
        <cfvo type="formula" val="$AF$72"/>
        <cfvo type="formula" val="$AF$72" gte="0"/>
      </iconSet>
    </cfRule>
  </conditionalFormatting>
  <conditionalFormatting sqref="AE73">
    <cfRule type="iconSet" priority="232">
      <iconSet iconSet="3Arrows">
        <cfvo type="percent" val="0"/>
        <cfvo type="formula" val="$AF$73"/>
        <cfvo type="formula" val="$AF$73" gte="0"/>
      </iconSet>
    </cfRule>
  </conditionalFormatting>
  <conditionalFormatting sqref="AN62">
    <cfRule type="iconSet" priority="217">
      <iconSet iconSet="3Arrows">
        <cfvo type="percent" val="0"/>
        <cfvo type="formula" val="$AP$62"/>
        <cfvo type="formula" val="$AP$62" gte="0"/>
      </iconSet>
    </cfRule>
  </conditionalFormatting>
  <conditionalFormatting sqref="AQ62">
    <cfRule type="iconSet" priority="214">
      <iconSet iconSet="3Arrows">
        <cfvo type="percent" val="0"/>
        <cfvo type="formula" val="$AS$62"/>
        <cfvo type="formula" val="$AS$62" gte="0"/>
      </iconSet>
    </cfRule>
  </conditionalFormatting>
  <conditionalFormatting sqref="AT62">
    <cfRule type="iconSet" priority="209">
      <iconSet iconSet="3Arrows">
        <cfvo type="percent" val="0"/>
        <cfvo type="formula" val="$AV$62"/>
        <cfvo type="formula" val="$AV$62" gte="0"/>
      </iconSet>
    </cfRule>
  </conditionalFormatting>
  <conditionalFormatting sqref="AW62">
    <cfRule type="iconSet" priority="203">
      <iconSet iconSet="3Arrows">
        <cfvo type="percent" val="0"/>
        <cfvo type="formula" val="$AY$62"/>
        <cfvo type="formula" val="$AY$62" gte="0"/>
      </iconSet>
    </cfRule>
  </conditionalFormatting>
  <conditionalFormatting sqref="AZ62">
    <cfRule type="iconSet" priority="199">
      <iconSet iconSet="3Arrows">
        <cfvo type="percent" val="0"/>
        <cfvo type="formula" val="$BB$62"/>
        <cfvo type="formula" val="$BB$62" gte="0"/>
      </iconSet>
    </cfRule>
  </conditionalFormatting>
  <conditionalFormatting sqref="BC62">
    <cfRule type="iconSet" priority="195">
      <iconSet iconSet="3Arrows">
        <cfvo type="percent" val="0"/>
        <cfvo type="formula" val="$BE$62"/>
        <cfvo type="formula" val="$BE$62" gte="0"/>
      </iconSet>
    </cfRule>
  </conditionalFormatting>
  <conditionalFormatting sqref="BF62">
    <cfRule type="iconSet" priority="191">
      <iconSet iconSet="3Arrows">
        <cfvo type="percent" val="0"/>
        <cfvo type="formula" val="$BH$62"/>
        <cfvo type="formula" val="$BH$62" gte="0"/>
      </iconSet>
    </cfRule>
  </conditionalFormatting>
  <conditionalFormatting sqref="BI62">
    <cfRule type="iconSet" priority="187">
      <iconSet iconSet="3Arrows">
        <cfvo type="percent" val="0"/>
        <cfvo type="formula" val="$BK$62"/>
        <cfvo type="formula" val="$BK$62" gte="0"/>
      </iconSet>
    </cfRule>
  </conditionalFormatting>
  <conditionalFormatting sqref="BL62">
    <cfRule type="iconSet" priority="186">
      <iconSet iconSet="3Arrows">
        <cfvo type="percent" val="0"/>
        <cfvo type="formula" val="$BM$62"/>
        <cfvo type="formula" val="$BM$62" gte="0"/>
      </iconSet>
    </cfRule>
  </conditionalFormatting>
  <conditionalFormatting sqref="AE33">
    <cfRule type="iconSet" priority="169">
      <iconSet iconSet="3Arrows">
        <cfvo type="percent" val="0"/>
        <cfvo type="formula" val="$AF$33"/>
        <cfvo type="formula" val="$AF$33" gte="0"/>
      </iconSet>
    </cfRule>
  </conditionalFormatting>
  <conditionalFormatting sqref="AN8">
    <cfRule type="iconSet" priority="165">
      <iconSet iconSet="3Arrows">
        <cfvo type="percent" val="0"/>
        <cfvo type="formula" val="$AP$8"/>
        <cfvo type="formula" val="$AP$8" gte="0"/>
      </iconSet>
    </cfRule>
  </conditionalFormatting>
  <conditionalFormatting sqref="AN11">
    <cfRule type="iconSet" priority="164">
      <iconSet iconSet="3Arrows">
        <cfvo type="percent" val="0"/>
        <cfvo type="formula" val="$AP$11"/>
        <cfvo type="formula" val="$AP$11" gte="0"/>
      </iconSet>
    </cfRule>
  </conditionalFormatting>
  <conditionalFormatting sqref="AN14">
    <cfRule type="iconSet" priority="163">
      <iconSet iconSet="3Arrows">
        <cfvo type="percent" val="0"/>
        <cfvo type="formula" val="$AP$14"/>
        <cfvo type="formula" val="$AP$14" gte="0"/>
      </iconSet>
    </cfRule>
  </conditionalFormatting>
  <conditionalFormatting sqref="AN16">
    <cfRule type="iconSet" priority="162">
      <iconSet iconSet="3Arrows">
        <cfvo type="percent" val="0"/>
        <cfvo type="formula" val="$AP$16"/>
        <cfvo type="formula" val="$AP$16" gte="0"/>
      </iconSet>
    </cfRule>
  </conditionalFormatting>
  <conditionalFormatting sqref="AN22">
    <cfRule type="iconSet" priority="161">
      <iconSet iconSet="3Arrows">
        <cfvo type="percent" val="0"/>
        <cfvo type="formula" val="$AP$22"/>
        <cfvo type="formula" val="$AP$22" gte="0"/>
      </iconSet>
    </cfRule>
  </conditionalFormatting>
  <conditionalFormatting sqref="AN27">
    <cfRule type="iconSet" priority="160">
      <iconSet iconSet="3Arrows">
        <cfvo type="percent" val="0"/>
        <cfvo type="formula" val="$AP$27"/>
        <cfvo type="formula" val="$AP$27" gte="0"/>
      </iconSet>
    </cfRule>
  </conditionalFormatting>
  <conditionalFormatting sqref="AN38">
    <cfRule type="iconSet" priority="159">
      <iconSet iconSet="3Arrows">
        <cfvo type="percent" val="0"/>
        <cfvo type="formula" val="$AP$38"/>
        <cfvo type="formula" val="$AP$38" gte="0"/>
      </iconSet>
    </cfRule>
  </conditionalFormatting>
  <conditionalFormatting sqref="AN40">
    <cfRule type="iconSet" priority="158">
      <iconSet iconSet="3Arrows">
        <cfvo type="percent" val="0"/>
        <cfvo type="formula" val="$AP$40"/>
        <cfvo type="formula" val="$AP$40" gte="0"/>
      </iconSet>
    </cfRule>
  </conditionalFormatting>
  <conditionalFormatting sqref="AN41">
    <cfRule type="iconSet" priority="157">
      <iconSet iconSet="3Arrows">
        <cfvo type="percent" val="0"/>
        <cfvo type="formula" val="$AP$41"/>
        <cfvo type="formula" val="$AP$41" gte="0"/>
      </iconSet>
    </cfRule>
  </conditionalFormatting>
  <conditionalFormatting sqref="AN56">
    <cfRule type="iconSet" priority="156">
      <iconSet iconSet="3Arrows">
        <cfvo type="percent" val="0"/>
        <cfvo type="formula" val="$AP$56"/>
        <cfvo type="formula" val="$AP$56" gte="0"/>
      </iconSet>
    </cfRule>
  </conditionalFormatting>
  <conditionalFormatting sqref="AN32">
    <cfRule type="iconSet" priority="155">
      <iconSet iconSet="3Arrows">
        <cfvo type="percent" val="0"/>
        <cfvo type="formula" val="$AP$32"/>
        <cfvo type="formula" val="$AP$32" gte="0"/>
      </iconSet>
    </cfRule>
  </conditionalFormatting>
  <conditionalFormatting sqref="AQ8">
    <cfRule type="iconSet" priority="154">
      <iconSet iconSet="3Arrows">
        <cfvo type="percent" val="0"/>
        <cfvo type="formula" val="$AS$8"/>
        <cfvo type="formula" val="$AS$8" gte="0"/>
      </iconSet>
    </cfRule>
  </conditionalFormatting>
  <conditionalFormatting sqref="AQ11">
    <cfRule type="iconSet" priority="153">
      <iconSet iconSet="3Arrows">
        <cfvo type="percent" val="0"/>
        <cfvo type="formula" val="$AS$11"/>
        <cfvo type="formula" val="$AS$11" gte="0"/>
      </iconSet>
    </cfRule>
  </conditionalFormatting>
  <conditionalFormatting sqref="AQ14">
    <cfRule type="iconSet" priority="152">
      <iconSet iconSet="3Arrows">
        <cfvo type="percent" val="0"/>
        <cfvo type="formula" val="$AS$14"/>
        <cfvo type="formula" val="$AS$14" gte="0"/>
      </iconSet>
    </cfRule>
  </conditionalFormatting>
  <conditionalFormatting sqref="AQ16">
    <cfRule type="iconSet" priority="151">
      <iconSet iconSet="3Arrows">
        <cfvo type="percent" val="0"/>
        <cfvo type="formula" val="$AS$16"/>
        <cfvo type="formula" val="$AS$16" gte="0"/>
      </iconSet>
    </cfRule>
  </conditionalFormatting>
  <conditionalFormatting sqref="AQ22">
    <cfRule type="iconSet" priority="150">
      <iconSet iconSet="3Arrows">
        <cfvo type="percent" val="0"/>
        <cfvo type="formula" val="$AS$22"/>
        <cfvo type="formula" val="$AS$22" gte="0"/>
      </iconSet>
    </cfRule>
  </conditionalFormatting>
  <conditionalFormatting sqref="AQ27">
    <cfRule type="iconSet" priority="149">
      <iconSet iconSet="3Arrows">
        <cfvo type="percent" val="0"/>
        <cfvo type="formula" val="$AS$27"/>
        <cfvo type="formula" val="$AS$27" gte="0"/>
      </iconSet>
    </cfRule>
  </conditionalFormatting>
  <conditionalFormatting sqref="AQ32">
    <cfRule type="iconSet" priority="148">
      <iconSet iconSet="3Arrows">
        <cfvo type="percent" val="0"/>
        <cfvo type="formula" val="$AS$32"/>
        <cfvo type="formula" val="$AS$32" gte="0"/>
      </iconSet>
    </cfRule>
  </conditionalFormatting>
  <conditionalFormatting sqref="AQ38">
    <cfRule type="iconSet" priority="147">
      <iconSet iconSet="3Arrows">
        <cfvo type="percent" val="0"/>
        <cfvo type="formula" val="$AS$38"/>
        <cfvo type="formula" val="$AS$38" gte="0"/>
      </iconSet>
    </cfRule>
  </conditionalFormatting>
  <conditionalFormatting sqref="AQ40">
    <cfRule type="iconSet" priority="146">
      <iconSet iconSet="3Arrows">
        <cfvo type="percent" val="0"/>
        <cfvo type="formula" val="$AS$40"/>
        <cfvo type="formula" val="$AS$40" gte="0"/>
      </iconSet>
    </cfRule>
  </conditionalFormatting>
  <conditionalFormatting sqref="AQ41">
    <cfRule type="iconSet" priority="145">
      <iconSet iconSet="3Arrows">
        <cfvo type="percent" val="0"/>
        <cfvo type="formula" val="$AS$41"/>
        <cfvo type="formula" val="$AS$41" gte="0"/>
      </iconSet>
    </cfRule>
  </conditionalFormatting>
  <conditionalFormatting sqref="AQ56">
    <cfRule type="iconSet" priority="144">
      <iconSet iconSet="3Arrows">
        <cfvo type="percent" val="0"/>
        <cfvo type="formula" val="$AS$56"/>
        <cfvo type="formula" val="$AS$56" gte="0"/>
      </iconSet>
    </cfRule>
  </conditionalFormatting>
  <conditionalFormatting sqref="AT56">
    <cfRule type="iconSet" priority="143">
      <iconSet iconSet="3Arrows">
        <cfvo type="percent" val="0"/>
        <cfvo type="formula" val="$AV$56"/>
        <cfvo type="formula" val="$AV$56" gte="0"/>
      </iconSet>
    </cfRule>
  </conditionalFormatting>
  <conditionalFormatting sqref="AT41">
    <cfRule type="iconSet" priority="142">
      <iconSet iconSet="3Arrows">
        <cfvo type="percent" val="0"/>
        <cfvo type="formula" val="$AV$41"/>
        <cfvo type="formula" val="$AV$41" gte="0"/>
      </iconSet>
    </cfRule>
  </conditionalFormatting>
  <conditionalFormatting sqref="AT40">
    <cfRule type="iconSet" priority="141">
      <iconSet iconSet="3Arrows">
        <cfvo type="percent" val="0"/>
        <cfvo type="formula" val="$AV$40"/>
        <cfvo type="formula" val="$AV$40" gte="0"/>
      </iconSet>
    </cfRule>
  </conditionalFormatting>
  <conditionalFormatting sqref="AT38">
    <cfRule type="iconSet" priority="140">
      <iconSet iconSet="3Arrows">
        <cfvo type="percent" val="0"/>
        <cfvo type="formula" val="$AV$38"/>
        <cfvo type="formula" val="$AV$38" gte="0"/>
      </iconSet>
    </cfRule>
  </conditionalFormatting>
  <conditionalFormatting sqref="AT32">
    <cfRule type="iconSet" priority="139">
      <iconSet iconSet="3Arrows">
        <cfvo type="percent" val="0"/>
        <cfvo type="formula" val="$AV$32"/>
        <cfvo type="formula" val="$AV$32" gte="0"/>
      </iconSet>
    </cfRule>
  </conditionalFormatting>
  <conditionalFormatting sqref="AT27">
    <cfRule type="iconSet" priority="138">
      <iconSet iconSet="3Arrows">
        <cfvo type="percent" val="0"/>
        <cfvo type="formula" val="$AV$27"/>
        <cfvo type="formula" val="$AV$27" gte="0"/>
      </iconSet>
    </cfRule>
  </conditionalFormatting>
  <conditionalFormatting sqref="AT22">
    <cfRule type="iconSet" priority="137">
      <iconSet iconSet="3Arrows">
        <cfvo type="percent" val="0"/>
        <cfvo type="formula" val="$AV$22"/>
        <cfvo type="formula" val="$AV$22" gte="0"/>
      </iconSet>
    </cfRule>
  </conditionalFormatting>
  <conditionalFormatting sqref="AT16">
    <cfRule type="iconSet" priority="136">
      <iconSet iconSet="3Arrows">
        <cfvo type="percent" val="0"/>
        <cfvo type="formula" val="$AV$16"/>
        <cfvo type="formula" val="$AV$16" gte="0"/>
      </iconSet>
    </cfRule>
  </conditionalFormatting>
  <conditionalFormatting sqref="AT14">
    <cfRule type="iconSet" priority="135">
      <iconSet iconSet="3Arrows">
        <cfvo type="percent" val="0"/>
        <cfvo type="formula" val="$AV$14"/>
        <cfvo type="formula" val="$AV$14" gte="0"/>
      </iconSet>
    </cfRule>
  </conditionalFormatting>
  <conditionalFormatting sqref="AT11">
    <cfRule type="iconSet" priority="134">
      <iconSet iconSet="3Arrows">
        <cfvo type="percent" val="0"/>
        <cfvo type="formula" val="$AV$11"/>
        <cfvo type="formula" val="$AV$11" gte="0"/>
      </iconSet>
    </cfRule>
  </conditionalFormatting>
  <conditionalFormatting sqref="AT8">
    <cfRule type="iconSet" priority="133">
      <iconSet iconSet="3Arrows">
        <cfvo type="percent" val="0"/>
        <cfvo type="formula" val="$AV$8"/>
        <cfvo type="formula" val="$AV$8" gte="0"/>
      </iconSet>
    </cfRule>
  </conditionalFormatting>
  <conditionalFormatting sqref="AW8">
    <cfRule type="iconSet" priority="132">
      <iconSet iconSet="3Arrows">
        <cfvo type="percent" val="0"/>
        <cfvo type="formula" val="$AY$8"/>
        <cfvo type="formula" val="$AY$8" gte="0"/>
      </iconSet>
    </cfRule>
  </conditionalFormatting>
  <conditionalFormatting sqref="AW11">
    <cfRule type="iconSet" priority="131">
      <iconSet iconSet="3Arrows">
        <cfvo type="percent" val="0"/>
        <cfvo type="formula" val="$AY$11"/>
        <cfvo type="formula" val="$AY$11" gte="0"/>
      </iconSet>
    </cfRule>
  </conditionalFormatting>
  <conditionalFormatting sqref="AW14">
    <cfRule type="iconSet" priority="130">
      <iconSet iconSet="3Arrows">
        <cfvo type="percent" val="0"/>
        <cfvo type="formula" val="$AY$14"/>
        <cfvo type="formula" val="$AY$14" gte="0"/>
      </iconSet>
    </cfRule>
  </conditionalFormatting>
  <conditionalFormatting sqref="AW16">
    <cfRule type="iconSet" priority="129">
      <iconSet iconSet="3Arrows">
        <cfvo type="percent" val="0"/>
        <cfvo type="formula" val="$AY$16"/>
        <cfvo type="formula" val="$AY$16" gte="0"/>
      </iconSet>
    </cfRule>
  </conditionalFormatting>
  <conditionalFormatting sqref="AW22">
    <cfRule type="iconSet" priority="128">
      <iconSet iconSet="3Arrows">
        <cfvo type="percent" val="0"/>
        <cfvo type="formula" val="$AY$22"/>
        <cfvo type="formula" val="$AY$22" gte="0"/>
      </iconSet>
    </cfRule>
  </conditionalFormatting>
  <conditionalFormatting sqref="AW27">
    <cfRule type="iconSet" priority="127">
      <iconSet iconSet="3Arrows">
        <cfvo type="percent" val="0"/>
        <cfvo type="formula" val="$AY$27"/>
        <cfvo type="formula" val="$AY$27" gte="0"/>
      </iconSet>
    </cfRule>
  </conditionalFormatting>
  <conditionalFormatting sqref="AW32">
    <cfRule type="iconSet" priority="126">
      <iconSet iconSet="3Arrows">
        <cfvo type="percent" val="0"/>
        <cfvo type="formula" val="$AY$32"/>
        <cfvo type="formula" val="$AY$32" gte="0"/>
      </iconSet>
    </cfRule>
  </conditionalFormatting>
  <conditionalFormatting sqref="AW38">
    <cfRule type="iconSet" priority="125">
      <iconSet iconSet="3Arrows">
        <cfvo type="percent" val="0"/>
        <cfvo type="formula" val="$AY$38"/>
        <cfvo type="formula" val="$AY$38" gte="0"/>
      </iconSet>
    </cfRule>
  </conditionalFormatting>
  <conditionalFormatting sqref="AW40">
    <cfRule type="iconSet" priority="124">
      <iconSet iconSet="3Arrows">
        <cfvo type="percent" val="0"/>
        <cfvo type="formula" val="$AY$40"/>
        <cfvo type="formula" val="$AY$40" gte="0"/>
      </iconSet>
    </cfRule>
  </conditionalFormatting>
  <conditionalFormatting sqref="AW41">
    <cfRule type="iconSet" priority="123">
      <iconSet iconSet="3Arrows">
        <cfvo type="percent" val="0"/>
        <cfvo type="formula" val="$AY$41"/>
        <cfvo type="formula" val="$AY$41" gte="0"/>
      </iconSet>
    </cfRule>
  </conditionalFormatting>
  <conditionalFormatting sqref="AW56">
    <cfRule type="iconSet" priority="122">
      <iconSet iconSet="3Arrows">
        <cfvo type="percent" val="0"/>
        <cfvo type="formula" val="$AY$56"/>
        <cfvo type="formula" val="$AY$56" gte="0"/>
      </iconSet>
    </cfRule>
  </conditionalFormatting>
  <conditionalFormatting sqref="AZ8">
    <cfRule type="iconSet" priority="121">
      <iconSet iconSet="3Arrows">
        <cfvo type="percent" val="0"/>
        <cfvo type="formula" val="$BB$8"/>
        <cfvo type="formula" val="$BB$8" gte="0"/>
      </iconSet>
    </cfRule>
  </conditionalFormatting>
  <conditionalFormatting sqref="AZ11">
    <cfRule type="iconSet" priority="120">
      <iconSet iconSet="3Arrows">
        <cfvo type="percent" val="0"/>
        <cfvo type="formula" val="$BB$11"/>
        <cfvo type="formula" val="$BB$11" gte="0"/>
      </iconSet>
    </cfRule>
  </conditionalFormatting>
  <conditionalFormatting sqref="AZ14">
    <cfRule type="iconSet" priority="119">
      <iconSet iconSet="3Arrows">
        <cfvo type="percent" val="0"/>
        <cfvo type="formula" val="$BB$14"/>
        <cfvo type="formula" val="$BB$14" gte="0"/>
      </iconSet>
    </cfRule>
  </conditionalFormatting>
  <conditionalFormatting sqref="AZ16">
    <cfRule type="iconSet" priority="118">
      <iconSet iconSet="3Arrows">
        <cfvo type="percent" val="0"/>
        <cfvo type="formula" val="$BB$16"/>
        <cfvo type="formula" val="$BB$16" gte="0"/>
      </iconSet>
    </cfRule>
  </conditionalFormatting>
  <conditionalFormatting sqref="AZ22">
    <cfRule type="iconSet" priority="117">
      <iconSet iconSet="3Arrows">
        <cfvo type="percent" val="0"/>
        <cfvo type="formula" val="$BB$22"/>
        <cfvo type="formula" val="$BB$22" gte="0"/>
      </iconSet>
    </cfRule>
  </conditionalFormatting>
  <conditionalFormatting sqref="AZ27">
    <cfRule type="iconSet" priority="116">
      <iconSet iconSet="3Arrows">
        <cfvo type="percent" val="0"/>
        <cfvo type="formula" val="$BB$27"/>
        <cfvo type="formula" val="$BB$27" gte="0"/>
      </iconSet>
    </cfRule>
  </conditionalFormatting>
  <conditionalFormatting sqref="AZ32">
    <cfRule type="iconSet" priority="115">
      <iconSet iconSet="3Arrows">
        <cfvo type="percent" val="0"/>
        <cfvo type="formula" val="$BB$32"/>
        <cfvo type="formula" val="$BB$32" gte="0"/>
      </iconSet>
    </cfRule>
  </conditionalFormatting>
  <conditionalFormatting sqref="AZ38">
    <cfRule type="iconSet" priority="114">
      <iconSet iconSet="3Arrows">
        <cfvo type="percent" val="0"/>
        <cfvo type="formula" val="$BB$38"/>
        <cfvo type="formula" val="$BB$38" gte="0"/>
      </iconSet>
    </cfRule>
  </conditionalFormatting>
  <conditionalFormatting sqref="AZ40">
    <cfRule type="iconSet" priority="113">
      <iconSet iconSet="3Arrows">
        <cfvo type="percent" val="0"/>
        <cfvo type="formula" val="$BB$40"/>
        <cfvo type="formula" val="$BB$40" gte="0"/>
      </iconSet>
    </cfRule>
  </conditionalFormatting>
  <conditionalFormatting sqref="AZ41">
    <cfRule type="iconSet" priority="112">
      <iconSet iconSet="3Arrows">
        <cfvo type="percent" val="0"/>
        <cfvo type="formula" val="$BB$41"/>
        <cfvo type="formula" val="$BB$41" gte="0"/>
      </iconSet>
    </cfRule>
  </conditionalFormatting>
  <conditionalFormatting sqref="AZ56">
    <cfRule type="iconSet" priority="111">
      <iconSet iconSet="3Arrows">
        <cfvo type="percent" val="0"/>
        <cfvo type="formula" val="$BB$56"/>
        <cfvo type="formula" val="$BB$56" gte="0"/>
      </iconSet>
    </cfRule>
  </conditionalFormatting>
  <conditionalFormatting sqref="BC8">
    <cfRule type="iconSet" priority="110">
      <iconSet iconSet="3Arrows">
        <cfvo type="percent" val="0"/>
        <cfvo type="formula" val="$BE$8"/>
        <cfvo type="formula" val="$BE$8" gte="0"/>
      </iconSet>
    </cfRule>
  </conditionalFormatting>
  <conditionalFormatting sqref="BC11">
    <cfRule type="iconSet" priority="109">
      <iconSet iconSet="3Arrows">
        <cfvo type="percent" val="0"/>
        <cfvo type="formula" val="$BE$11"/>
        <cfvo type="formula" val="$BE$11" gte="0"/>
      </iconSet>
    </cfRule>
  </conditionalFormatting>
  <conditionalFormatting sqref="BC14">
    <cfRule type="iconSet" priority="108">
      <iconSet iconSet="3Arrows">
        <cfvo type="percent" val="0"/>
        <cfvo type="formula" val="$BE$14"/>
        <cfvo type="formula" val="$BE$14" gte="0"/>
      </iconSet>
    </cfRule>
  </conditionalFormatting>
  <conditionalFormatting sqref="BC16">
    <cfRule type="iconSet" priority="107">
      <iconSet iconSet="3Arrows">
        <cfvo type="percent" val="0"/>
        <cfvo type="formula" val="$BE$16"/>
        <cfvo type="formula" val="$BE$16" gte="0"/>
      </iconSet>
    </cfRule>
  </conditionalFormatting>
  <conditionalFormatting sqref="BC22">
    <cfRule type="iconSet" priority="106">
      <iconSet iconSet="3Arrows">
        <cfvo type="percent" val="0"/>
        <cfvo type="formula" val="$BE$22"/>
        <cfvo type="formula" val="$BE$22" gte="0"/>
      </iconSet>
    </cfRule>
  </conditionalFormatting>
  <conditionalFormatting sqref="BC27">
    <cfRule type="iconSet" priority="105">
      <iconSet iconSet="3Arrows">
        <cfvo type="percent" val="0"/>
        <cfvo type="formula" val="$BE$27"/>
        <cfvo type="formula" val="$BE$27" gte="0"/>
      </iconSet>
    </cfRule>
  </conditionalFormatting>
  <conditionalFormatting sqref="BC32">
    <cfRule type="iconSet" priority="104">
      <iconSet iconSet="3Arrows">
        <cfvo type="percent" val="0"/>
        <cfvo type="formula" val="$BE$32"/>
        <cfvo type="formula" val="$BE$32" gte="0"/>
      </iconSet>
    </cfRule>
  </conditionalFormatting>
  <conditionalFormatting sqref="BC38">
    <cfRule type="iconSet" priority="103">
      <iconSet iconSet="3Arrows">
        <cfvo type="percent" val="0"/>
        <cfvo type="formula" val="$BE$38"/>
        <cfvo type="formula" val="$BE$38" gte="0"/>
      </iconSet>
    </cfRule>
  </conditionalFormatting>
  <conditionalFormatting sqref="BC40">
    <cfRule type="iconSet" priority="102">
      <iconSet iconSet="3Arrows">
        <cfvo type="percent" val="0"/>
        <cfvo type="formula" val="$BE$40"/>
        <cfvo type="formula" val="$BE$40" gte="0"/>
      </iconSet>
    </cfRule>
  </conditionalFormatting>
  <conditionalFormatting sqref="BC41">
    <cfRule type="iconSet" priority="101">
      <iconSet iconSet="3Arrows">
        <cfvo type="percent" val="0"/>
        <cfvo type="formula" val="$BE$41"/>
        <cfvo type="formula" val="$BE$41" gte="0"/>
      </iconSet>
    </cfRule>
  </conditionalFormatting>
  <conditionalFormatting sqref="BC56">
    <cfRule type="iconSet" priority="100">
      <iconSet iconSet="3Arrows">
        <cfvo type="percent" val="0"/>
        <cfvo type="formula" val="$BE$56"/>
        <cfvo type="formula" val="$BE$56" gte="0"/>
      </iconSet>
    </cfRule>
  </conditionalFormatting>
  <conditionalFormatting sqref="BF8">
    <cfRule type="iconSet" priority="99">
      <iconSet iconSet="3Arrows">
        <cfvo type="percent" val="0"/>
        <cfvo type="formula" val="$BH$8"/>
        <cfvo type="formula" val="$BH$8" gte="0"/>
      </iconSet>
    </cfRule>
  </conditionalFormatting>
  <conditionalFormatting sqref="BF11">
    <cfRule type="iconSet" priority="98">
      <iconSet iconSet="3Arrows">
        <cfvo type="percent" val="0"/>
        <cfvo type="formula" val="$BH$11"/>
        <cfvo type="formula" val="$BH$11" gte="0"/>
      </iconSet>
    </cfRule>
  </conditionalFormatting>
  <conditionalFormatting sqref="BF14">
    <cfRule type="iconSet" priority="97">
      <iconSet iconSet="3Arrows">
        <cfvo type="percent" val="0"/>
        <cfvo type="formula" val="$BH$14"/>
        <cfvo type="formula" val="$BH$14" gte="0"/>
      </iconSet>
    </cfRule>
  </conditionalFormatting>
  <conditionalFormatting sqref="BF16">
    <cfRule type="iconSet" priority="96">
      <iconSet iconSet="3Arrows">
        <cfvo type="percent" val="0"/>
        <cfvo type="formula" val="$BH$16"/>
        <cfvo type="formula" val="$BH$16" gte="0"/>
      </iconSet>
    </cfRule>
  </conditionalFormatting>
  <conditionalFormatting sqref="BF22">
    <cfRule type="iconSet" priority="95">
      <iconSet iconSet="3Arrows">
        <cfvo type="percent" val="0"/>
        <cfvo type="formula" val="$BH$22"/>
        <cfvo type="formula" val="$BH$22" gte="0"/>
      </iconSet>
    </cfRule>
  </conditionalFormatting>
  <conditionalFormatting sqref="BF27">
    <cfRule type="iconSet" priority="94">
      <iconSet iconSet="3Arrows">
        <cfvo type="percent" val="0"/>
        <cfvo type="formula" val="$BH$27"/>
        <cfvo type="formula" val="$BH$27" gte="0"/>
      </iconSet>
    </cfRule>
  </conditionalFormatting>
  <conditionalFormatting sqref="BF32">
    <cfRule type="iconSet" priority="93">
      <iconSet iconSet="3Arrows">
        <cfvo type="percent" val="0"/>
        <cfvo type="formula" val="$BH$32"/>
        <cfvo type="formula" val="$BH$32" gte="0"/>
      </iconSet>
    </cfRule>
  </conditionalFormatting>
  <conditionalFormatting sqref="BF38">
    <cfRule type="iconSet" priority="92">
      <iconSet iconSet="3Arrows">
        <cfvo type="percent" val="0"/>
        <cfvo type="formula" val="$BH$38"/>
        <cfvo type="formula" val="$BH$38" gte="0"/>
      </iconSet>
    </cfRule>
  </conditionalFormatting>
  <conditionalFormatting sqref="BF40">
    <cfRule type="iconSet" priority="91">
      <iconSet iconSet="3Arrows">
        <cfvo type="percent" val="0"/>
        <cfvo type="formula" val="$BH$40"/>
        <cfvo type="formula" val="$BH$40" gte="0"/>
      </iconSet>
    </cfRule>
  </conditionalFormatting>
  <conditionalFormatting sqref="BF41">
    <cfRule type="iconSet" priority="90">
      <iconSet iconSet="3Arrows">
        <cfvo type="percent" val="0"/>
        <cfvo type="formula" val="$BH$41"/>
        <cfvo type="formula" val="$BH$41" gte="0"/>
      </iconSet>
    </cfRule>
  </conditionalFormatting>
  <conditionalFormatting sqref="BF56">
    <cfRule type="iconSet" priority="89">
      <iconSet iconSet="3Arrows">
        <cfvo type="percent" val="0"/>
        <cfvo type="formula" val="$BH$56"/>
        <cfvo type="formula" val="$BH$56" gte="0"/>
      </iconSet>
    </cfRule>
  </conditionalFormatting>
  <conditionalFormatting sqref="BI8">
    <cfRule type="iconSet" priority="88">
      <iconSet iconSet="3Arrows">
        <cfvo type="percent" val="0"/>
        <cfvo type="formula" val="$BK$8"/>
        <cfvo type="formula" val="$BK$8" gte="0"/>
      </iconSet>
    </cfRule>
  </conditionalFormatting>
  <conditionalFormatting sqref="BI11">
    <cfRule type="iconSet" priority="87">
      <iconSet iconSet="3Arrows">
        <cfvo type="percent" val="0"/>
        <cfvo type="formula" val="$BK$11"/>
        <cfvo type="formula" val="$BK$11" gte="0"/>
      </iconSet>
    </cfRule>
  </conditionalFormatting>
  <conditionalFormatting sqref="BI14">
    <cfRule type="iconSet" priority="86">
      <iconSet iconSet="3Arrows">
        <cfvo type="percent" val="0"/>
        <cfvo type="formula" val="$BK$14"/>
        <cfvo type="formula" val="$BK$14" gte="0"/>
      </iconSet>
    </cfRule>
  </conditionalFormatting>
  <conditionalFormatting sqref="BI16">
    <cfRule type="iconSet" priority="85">
      <iconSet iconSet="3Arrows">
        <cfvo type="percent" val="0"/>
        <cfvo type="formula" val="$BK$16"/>
        <cfvo type="formula" val="$BK$16" gte="0"/>
      </iconSet>
    </cfRule>
  </conditionalFormatting>
  <conditionalFormatting sqref="BI22">
    <cfRule type="iconSet" priority="84">
      <iconSet iconSet="3Arrows">
        <cfvo type="percent" val="0"/>
        <cfvo type="formula" val="$BK$22"/>
        <cfvo type="formula" val="$BK$22" gte="0"/>
      </iconSet>
    </cfRule>
  </conditionalFormatting>
  <conditionalFormatting sqref="BI27">
    <cfRule type="iconSet" priority="83">
      <iconSet iconSet="3Arrows">
        <cfvo type="percent" val="0"/>
        <cfvo type="formula" val="$BK$27"/>
        <cfvo type="formula" val="$BK$27" gte="0"/>
      </iconSet>
    </cfRule>
  </conditionalFormatting>
  <conditionalFormatting sqref="BI32">
    <cfRule type="iconSet" priority="82">
      <iconSet iconSet="3Arrows">
        <cfvo type="percent" val="0"/>
        <cfvo type="formula" val="$BK$32"/>
        <cfvo type="formula" val="$BK$32" gte="0"/>
      </iconSet>
    </cfRule>
  </conditionalFormatting>
  <conditionalFormatting sqref="BI38">
    <cfRule type="iconSet" priority="81">
      <iconSet iconSet="3Arrows">
        <cfvo type="percent" val="0"/>
        <cfvo type="formula" val="$BK$38"/>
        <cfvo type="formula" val="$BK$38" gte="0"/>
      </iconSet>
    </cfRule>
  </conditionalFormatting>
  <conditionalFormatting sqref="BI40">
    <cfRule type="iconSet" priority="80">
      <iconSet iconSet="3Arrows">
        <cfvo type="percent" val="0"/>
        <cfvo type="formula" val="$BK$40"/>
        <cfvo type="formula" val="$BK$40" gte="0"/>
      </iconSet>
    </cfRule>
  </conditionalFormatting>
  <conditionalFormatting sqref="BI41">
    <cfRule type="iconSet" priority="78">
      <iconSet iconSet="3Arrows">
        <cfvo type="percent" val="0"/>
        <cfvo type="formula" val="$BK$41"/>
        <cfvo type="formula" val="$BK$41" gte="0"/>
      </iconSet>
    </cfRule>
  </conditionalFormatting>
  <conditionalFormatting sqref="BI56">
    <cfRule type="iconSet" priority="77">
      <iconSet iconSet="3Arrows">
        <cfvo type="percent" val="0"/>
        <cfvo type="formula" val="$BK$56"/>
        <cfvo type="formula" val="$BK$56" gte="0"/>
      </iconSet>
    </cfRule>
  </conditionalFormatting>
  <conditionalFormatting sqref="AE8">
    <cfRule type="iconSet" priority="76">
      <iconSet iconSet="3Arrows">
        <cfvo type="percent" val="0"/>
        <cfvo type="formula" val="$AF$8"/>
        <cfvo type="formula" val="$AF$8" gte="0"/>
      </iconSet>
    </cfRule>
  </conditionalFormatting>
  <conditionalFormatting sqref="AE11">
    <cfRule type="iconSet" priority="75">
      <iconSet iconSet="3Arrows">
        <cfvo type="percent" val="0"/>
        <cfvo type="formula" val="$AF$11"/>
        <cfvo type="formula" val="$AF$11" gte="0"/>
      </iconSet>
    </cfRule>
  </conditionalFormatting>
  <conditionalFormatting sqref="AE19">
    <cfRule type="iconSet" priority="74">
      <iconSet iconSet="3Arrows">
        <cfvo type="percent" val="0"/>
        <cfvo type="formula" val="$AF$19"/>
        <cfvo type="formula" val="$AF$19" gte="0"/>
      </iconSet>
    </cfRule>
  </conditionalFormatting>
  <conditionalFormatting sqref="AE25">
    <cfRule type="iconSet" priority="73">
      <iconSet iconSet="3Arrows">
        <cfvo type="percent" val="0"/>
        <cfvo type="formula" val="$AF$25"/>
        <cfvo type="formula" val="$AF$25" gte="0"/>
      </iconSet>
    </cfRule>
  </conditionalFormatting>
  <conditionalFormatting sqref="AE31">
    <cfRule type="iconSet" priority="72">
      <iconSet iconSet="3Arrows">
        <cfvo type="percent" val="0"/>
        <cfvo type="formula" val="$AF$31"/>
        <cfvo type="formula" val="$AF$31" gte="0"/>
      </iconSet>
    </cfRule>
  </conditionalFormatting>
  <conditionalFormatting sqref="AE40">
    <cfRule type="iconSet" priority="71">
      <iconSet iconSet="3Arrows">
        <cfvo type="percent" val="0"/>
        <cfvo type="formula" val="$AF$40"/>
        <cfvo type="formula" val="$AF$40" gte="0"/>
      </iconSet>
    </cfRule>
  </conditionalFormatting>
  <conditionalFormatting sqref="AE41">
    <cfRule type="iconSet" priority="70">
      <iconSet iconSet="3Arrows">
        <cfvo type="percent" val="0"/>
        <cfvo type="formula" val="$AF$41"/>
        <cfvo type="formula" val="$AF$41" gte="0"/>
      </iconSet>
    </cfRule>
  </conditionalFormatting>
  <conditionalFormatting sqref="AE50">
    <cfRule type="iconSet" priority="69">
      <iconSet iconSet="3Arrows">
        <cfvo type="percent" val="0"/>
        <cfvo type="formula" val="$AF$50"/>
        <cfvo type="formula" val="$AF$50" gte="0"/>
      </iconSet>
    </cfRule>
  </conditionalFormatting>
  <conditionalFormatting sqref="AE62">
    <cfRule type="iconSet" priority="68">
      <iconSet iconSet="3Arrows">
        <cfvo type="percent" val="0"/>
        <cfvo type="formula" val="$AF$62"/>
        <cfvo type="formula" val="$AF$62" gte="0"/>
      </iconSet>
    </cfRule>
  </conditionalFormatting>
  <conditionalFormatting sqref="AE14">
    <cfRule type="iconSet" priority="1">
      <iconSet iconSet="3Arrows">
        <cfvo type="percent" val="0"/>
        <cfvo type="formula" val="$AF$14"/>
        <cfvo type="formula" val="$AF$14" gte="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655" operator="containsText" id="{A63E8C46-0A67-447F-8CCC-BAB164D07516}">
            <xm:f>NOT(ISERROR(SEARCH("-",AN6)))</xm:f>
            <xm:f>"-"</xm:f>
            <x14:dxf>
              <numFmt numFmtId="0" formatCode="General"/>
              <fill>
                <patternFill>
                  <bgColor theme="0" tint="-0.24994659260841701"/>
                </patternFill>
              </fill>
            </x14:dxf>
          </x14:cfRule>
          <xm:sqref>AN6</xm:sqref>
        </x14:conditionalFormatting>
        <x14:conditionalFormatting xmlns:xm="http://schemas.microsoft.com/office/excel/2006/main">
          <x14:cfRule type="expression" priority="2335" id="{4E04BAED-7BFE-4148-B3D5-1E6496AFDD9D}">
            <xm:f>J6&lt;Benchmark!G$4</xm:f>
            <x14:dxf>
              <fill>
                <patternFill>
                  <bgColor rgb="FFFF0000"/>
                </patternFill>
              </fill>
            </x14:dxf>
          </x14:cfRule>
          <x14:cfRule type="expression" priority="2336" id="{5F327367-15E8-4FBC-8613-1454A35AFC4E}">
            <xm:f>J6&gt;=Benchmark!G$4</xm:f>
            <x14:dxf>
              <fill>
                <patternFill>
                  <bgColor rgb="FF92D050"/>
                </patternFill>
              </fill>
            </x14:dxf>
          </x14:cfRule>
          <xm:sqref>J69:J73 J6:J62</xm:sqref>
        </x14:conditionalFormatting>
        <x14:conditionalFormatting xmlns:xm="http://schemas.microsoft.com/office/excel/2006/main">
          <x14:cfRule type="expression" priority="2343" id="{33D6EBC6-75D2-4A8D-96D6-5595FD445C03}">
            <xm:f>AW6&lt;Benchmark!X$4</xm:f>
            <x14:dxf>
              <fill>
                <patternFill>
                  <bgColor rgb="FFFF0000"/>
                </patternFill>
              </fill>
            </x14:dxf>
          </x14:cfRule>
          <x14:cfRule type="expression" priority="2344" id="{A171EFB1-7739-43EE-A779-A0F6AE49550F}">
            <xm:f>AW6&gt;=Benchmark!X$4</xm:f>
            <x14:dxf>
              <fill>
                <patternFill>
                  <bgColor rgb="FF92D050"/>
                </patternFill>
              </fill>
            </x14:dxf>
          </x14:cfRule>
          <xm:sqref>AW69:AW73 AW6:AW62</xm:sqref>
        </x14:conditionalFormatting>
        <x14:conditionalFormatting xmlns:xm="http://schemas.microsoft.com/office/excel/2006/main">
          <x14:cfRule type="expression" priority="2345" id="{EBCD349C-BD0D-4DE0-B3B3-15951A637043}">
            <xm:f>AZ6&lt;Benchmark!Z$4</xm:f>
            <x14:dxf>
              <fill>
                <patternFill>
                  <bgColor rgb="FFFF0000"/>
                </patternFill>
              </fill>
            </x14:dxf>
          </x14:cfRule>
          <x14:cfRule type="expression" priority="2346" id="{3CDA1C87-7D3B-4540-8042-E9692B0523A4}">
            <xm:f>AZ6&gt;=Benchmark!Z$4</xm:f>
            <x14:dxf>
              <fill>
                <patternFill>
                  <bgColor rgb="FF92D050"/>
                </patternFill>
              </fill>
            </x14:dxf>
          </x14:cfRule>
          <xm:sqref>AZ69:AZ73 AZ6:AZ62</xm:sqref>
        </x14:conditionalFormatting>
        <x14:conditionalFormatting xmlns:xm="http://schemas.microsoft.com/office/excel/2006/main">
          <x14:cfRule type="expression" priority="2347" id="{02020D94-39F6-43CD-BDC7-4234ADA1431B}">
            <xm:f>BC6&lt;Benchmark!AB$4</xm:f>
            <x14:dxf>
              <fill>
                <patternFill>
                  <bgColor rgb="FFFF0000"/>
                </patternFill>
              </fill>
            </x14:dxf>
          </x14:cfRule>
          <x14:cfRule type="expression" priority="2348" id="{2493F6E0-0C85-4C99-8355-6AC3C0BE31A9}">
            <xm:f>BC6&gt;=Benchmark!AB$4</xm:f>
            <x14:dxf>
              <fill>
                <patternFill>
                  <bgColor rgb="FF92D050"/>
                </patternFill>
              </fill>
            </x14:dxf>
          </x14:cfRule>
          <xm:sqref>BC69:BC73 BC6:BC62</xm:sqref>
        </x14:conditionalFormatting>
        <x14:conditionalFormatting xmlns:xm="http://schemas.microsoft.com/office/excel/2006/main">
          <x14:cfRule type="expression" priority="2349" id="{C5806185-623C-43E2-866A-164F85307388}">
            <xm:f>BF6&lt;Benchmark!AD$4</xm:f>
            <x14:dxf>
              <fill>
                <patternFill>
                  <bgColor rgb="FFFF0000"/>
                </patternFill>
              </fill>
            </x14:dxf>
          </x14:cfRule>
          <x14:cfRule type="expression" priority="2350" id="{6E618977-FB96-47DA-B1AD-FFB1BDE32163}">
            <xm:f>BF6&gt;=Benchmark!AD$4</xm:f>
            <x14:dxf>
              <fill>
                <patternFill>
                  <bgColor rgb="FF92D050"/>
                </patternFill>
              </fill>
            </x14:dxf>
          </x14:cfRule>
          <xm:sqref>BF69:BF73 BF6:BF62</xm:sqref>
        </x14:conditionalFormatting>
        <x14:conditionalFormatting xmlns:xm="http://schemas.microsoft.com/office/excel/2006/main">
          <x14:cfRule type="expression" priority="2331" id="{CA0C6935-D4D5-4DE1-B2E1-AD0F16391C21}">
            <xm:f>Q6&gt;Benchmark!$K$4</xm:f>
            <x14:dxf>
              <fill>
                <patternFill>
                  <bgColor rgb="FFFF0000"/>
                </patternFill>
              </fill>
            </x14:dxf>
          </x14:cfRule>
          <x14:cfRule type="expression" priority="2332" id="{F4D7989C-EC2B-4994-B6EA-E484C14C6264}">
            <xm:f>Q6&lt;Benchmark!$K$4</xm:f>
            <x14:dxf>
              <fill>
                <patternFill>
                  <bgColor rgb="FF92D050"/>
                </patternFill>
              </fill>
            </x14:dxf>
          </x14:cfRule>
          <xm:sqref>Q69:Q73 Q6:Q62</xm:sqref>
        </x14:conditionalFormatting>
        <x14:conditionalFormatting xmlns:xm="http://schemas.microsoft.com/office/excel/2006/main">
          <x14:cfRule type="expression" priority="2334" id="{80A10EB9-975E-4277-9F24-3FC91F76524A}">
            <xm:f>BI6&gt;=Benchmark!AF$4</xm:f>
            <x14:dxf>
              <fill>
                <patternFill>
                  <bgColor rgb="FF92D050"/>
                </patternFill>
              </fill>
            </x14:dxf>
          </x14:cfRule>
          <xm:sqref>BI69:BI73 BI6:BI62</xm:sqref>
        </x14:conditionalFormatting>
        <x14:conditionalFormatting xmlns:xm="http://schemas.microsoft.com/office/excel/2006/main">
          <x14:cfRule type="expression" priority="2337" id="{7129F1E0-452B-48C8-87F8-CD69F104C306}">
            <xm:f>AN6&lt;Benchmark!R$4</xm:f>
            <x14:dxf>
              <fill>
                <patternFill>
                  <bgColor rgb="FFFF0000"/>
                </patternFill>
              </fill>
            </x14:dxf>
          </x14:cfRule>
          <x14:cfRule type="expression" priority="2338" id="{BBD37B3E-7995-4739-AF8D-2C2637E83427}">
            <xm:f>AN6&gt;=Benchmark!R$4</xm:f>
            <x14:dxf>
              <fill>
                <patternFill>
                  <bgColor rgb="FF92D050"/>
                </patternFill>
              </fill>
            </x14:dxf>
          </x14:cfRule>
          <xm:sqref>AN69:AN73 AN6:AN62</xm:sqref>
        </x14:conditionalFormatting>
        <x14:conditionalFormatting xmlns:xm="http://schemas.microsoft.com/office/excel/2006/main">
          <x14:cfRule type="expression" priority="2339" id="{3B820D37-3C3C-4511-8546-53E8480740D2}">
            <xm:f>AQ6&lt;Benchmark!T$4</xm:f>
            <x14:dxf>
              <fill>
                <patternFill>
                  <bgColor rgb="FFFF0000"/>
                </patternFill>
              </fill>
            </x14:dxf>
          </x14:cfRule>
          <x14:cfRule type="expression" priority="2340" id="{2283BC66-8638-4D87-8F97-71269AA9F475}">
            <xm:f>AQ6&gt;=Benchmark!T$4</xm:f>
            <x14:dxf>
              <fill>
                <patternFill>
                  <bgColor rgb="FF92D050"/>
                </patternFill>
              </fill>
            </x14:dxf>
          </x14:cfRule>
          <xm:sqref>AQ69:AQ73 AQ6:AQ62</xm:sqref>
        </x14:conditionalFormatting>
        <x14:conditionalFormatting xmlns:xm="http://schemas.microsoft.com/office/excel/2006/main">
          <x14:cfRule type="expression" priority="2341" id="{4781E498-3B20-4F03-984A-7338F0E3B724}">
            <xm:f>AT6&lt;Benchmark!V$4</xm:f>
            <x14:dxf>
              <fill>
                <patternFill>
                  <bgColor rgb="FFFF0000"/>
                </patternFill>
              </fill>
            </x14:dxf>
          </x14:cfRule>
          <x14:cfRule type="expression" priority="2342" id="{00A526FB-03B1-405D-9197-6010F53F81B4}">
            <xm:f>AT6&gt;=Benchmark!V$4</xm:f>
            <x14:dxf>
              <fill>
                <patternFill>
                  <bgColor rgb="FF92D050"/>
                </patternFill>
              </fill>
            </x14:dxf>
          </x14:cfRule>
          <xm:sqref>AT69:AT73 AT6:AT62</xm:sqref>
        </x14:conditionalFormatting>
        <x14:conditionalFormatting xmlns:xm="http://schemas.microsoft.com/office/excel/2006/main">
          <x14:cfRule type="expression" priority="2333" id="{B16CBC37-CFF0-4AB2-B359-868E29F3AE39}">
            <xm:f>BI6&lt;Benchmark!AF$4</xm:f>
            <x14:dxf>
              <fill>
                <patternFill>
                  <bgColor rgb="FFFF0000"/>
                </patternFill>
              </fill>
            </x14:dxf>
          </x14:cfRule>
          <xm:sqref>BI69:BI73 BI6:BI62</xm:sqref>
        </x14:conditionalFormatting>
        <x14:conditionalFormatting xmlns:xm="http://schemas.microsoft.com/office/excel/2006/main">
          <x14:cfRule type="containsText" priority="189" operator="containsText" id="{AA0E0157-4E89-44F6-8CB6-65851E7EFCC9}">
            <xm:f>NOT(ISERROR(SEARCH("-",AN6)))</xm:f>
            <xm:f>"-"</xm:f>
            <x14:dxf>
              <fill>
                <patternFill>
                  <bgColor theme="0" tint="-0.24994659260841701"/>
                </patternFill>
              </fill>
            </x14:dxf>
          </x14:cfRule>
          <xm:sqref>AN6:BI62</xm:sqref>
        </x14:conditionalFormatting>
        <x14:conditionalFormatting xmlns:xm="http://schemas.microsoft.com/office/excel/2006/main">
          <x14:cfRule type="containsText" priority="216" operator="containsText" id="{88B76EFD-0301-4814-BDEE-BF7F5073BFE2}">
            <xm:f>NOT(ISERROR(SEARCH("-",BJ6)))</xm:f>
            <xm:f>"-"</xm:f>
            <x14:dxf>
              <fill>
                <patternFill>
                  <bgColor theme="0" tint="-0.24994659260841701"/>
                </patternFill>
              </fill>
            </x14:dxf>
          </x14:cfRule>
          <xm:sqref>BJ6:BJ62</xm:sqref>
        </x14:conditionalFormatting>
        <x14:conditionalFormatting xmlns:xm="http://schemas.microsoft.com/office/excel/2006/main">
          <x14:cfRule type="containsText" priority="177" operator="containsText" id="{5EF99BB9-D9B3-4344-83C6-F0782C5A33C3}">
            <xm:f>NOT(ISERROR(SEARCH("-",AP69)))</xm:f>
            <xm:f>"-"</xm:f>
            <x14:dxf>
              <fill>
                <patternFill>
                  <bgColor theme="0" tint="-0.24994659260841701"/>
                </patternFill>
              </fill>
            </x14:dxf>
          </x14:cfRule>
          <xm:sqref>AP69:AP73</xm:sqref>
        </x14:conditionalFormatting>
        <x14:conditionalFormatting xmlns:xm="http://schemas.microsoft.com/office/excel/2006/main">
          <x14:cfRule type="containsText" priority="176" operator="containsText" id="{958BEF86-F7B3-4530-BA22-765D25BD4A66}">
            <xm:f>NOT(ISERROR(SEARCH("-",AS69)))</xm:f>
            <xm:f>"-"</xm:f>
            <x14:dxf>
              <fill>
                <patternFill>
                  <bgColor theme="0" tint="-0.24994659260841701"/>
                </patternFill>
              </fill>
            </x14:dxf>
          </x14:cfRule>
          <xm:sqref>AS69:AS73</xm:sqref>
        </x14:conditionalFormatting>
        <x14:conditionalFormatting xmlns:xm="http://schemas.microsoft.com/office/excel/2006/main">
          <x14:cfRule type="containsText" priority="175" operator="containsText" id="{B67D581B-8116-4033-8D75-D199FD16502F}">
            <xm:f>NOT(ISERROR(SEARCH("-",AV69)))</xm:f>
            <xm:f>"-"</xm:f>
            <x14:dxf>
              <fill>
                <patternFill>
                  <bgColor theme="0" tint="-0.24994659260841701"/>
                </patternFill>
              </fill>
            </x14:dxf>
          </x14:cfRule>
          <xm:sqref>AV69:AV73</xm:sqref>
        </x14:conditionalFormatting>
        <x14:conditionalFormatting xmlns:xm="http://schemas.microsoft.com/office/excel/2006/main">
          <x14:cfRule type="containsText" priority="174" operator="containsText" id="{6E594082-9F4C-41B4-B4D2-A95CEAA1576A}">
            <xm:f>NOT(ISERROR(SEARCH("-",AY69)))</xm:f>
            <xm:f>"-"</xm:f>
            <x14:dxf>
              <fill>
                <patternFill>
                  <bgColor theme="0" tint="-0.24994659260841701"/>
                </patternFill>
              </fill>
            </x14:dxf>
          </x14:cfRule>
          <xm:sqref>AY69:AY73</xm:sqref>
        </x14:conditionalFormatting>
        <x14:conditionalFormatting xmlns:xm="http://schemas.microsoft.com/office/excel/2006/main">
          <x14:cfRule type="containsText" priority="173" operator="containsText" id="{00EC5EC0-90C8-45C2-B343-3884B65A0D46}">
            <xm:f>NOT(ISERROR(SEARCH("-",BB69)))</xm:f>
            <xm:f>"-"</xm:f>
            <x14:dxf>
              <fill>
                <patternFill>
                  <bgColor theme="0" tint="-0.24994659260841701"/>
                </patternFill>
              </fill>
            </x14:dxf>
          </x14:cfRule>
          <xm:sqref>BB69:BB73</xm:sqref>
        </x14:conditionalFormatting>
        <x14:conditionalFormatting xmlns:xm="http://schemas.microsoft.com/office/excel/2006/main">
          <x14:cfRule type="containsText" priority="172" operator="containsText" id="{71E3E826-5F2A-4313-B503-B1BBE7A905CC}">
            <xm:f>NOT(ISERROR(SEARCH("-",BE69)))</xm:f>
            <xm:f>"-"</xm:f>
            <x14:dxf>
              <fill>
                <patternFill>
                  <bgColor theme="0" tint="-0.24994659260841701"/>
                </patternFill>
              </fill>
            </x14:dxf>
          </x14:cfRule>
          <xm:sqref>BE69:BE73</xm:sqref>
        </x14:conditionalFormatting>
        <x14:conditionalFormatting xmlns:xm="http://schemas.microsoft.com/office/excel/2006/main">
          <x14:cfRule type="containsText" priority="171" operator="containsText" id="{BDC5D7F5-3F46-465D-B8F7-A55FAD10F5A6}">
            <xm:f>NOT(ISERROR(SEARCH("-",BH69)))</xm:f>
            <xm:f>"-"</xm:f>
            <x14:dxf>
              <fill>
                <patternFill>
                  <bgColor theme="0" tint="-0.24994659260841701"/>
                </patternFill>
              </fill>
            </x14:dxf>
          </x14:cfRule>
          <xm:sqref>BH69:BH73</xm:sqref>
        </x14:conditionalFormatting>
        <x14:conditionalFormatting xmlns:xm="http://schemas.microsoft.com/office/excel/2006/main">
          <x14:cfRule type="containsText" priority="168" operator="containsText" id="{855239A4-65E2-40E4-9D17-1880690AF2F7}">
            <xm:f>NOT(ISERROR(SEARCH("-",CL1)))</xm:f>
            <xm:f>"-"</xm:f>
            <x14:dxf>
              <fill>
                <patternFill>
                  <bgColor theme="0" tint="-0.24994659260841701"/>
                </patternFill>
              </fill>
            </x14:dxf>
          </x14:cfRule>
          <xm:sqref>CL1:CL1048576</xm:sqref>
        </x14:conditionalFormatting>
        <x14:conditionalFormatting xmlns:xm="http://schemas.microsoft.com/office/excel/2006/main">
          <x14:cfRule type="containsText" priority="167" operator="containsText" id="{62187A38-D1A9-407A-BF3E-EFB5CF090A79}">
            <xm:f>NOT(ISERROR(SEARCH("-",CN69)))</xm:f>
            <xm:f>"-"</xm:f>
            <x14:dxf>
              <fill>
                <patternFill>
                  <bgColor theme="0" tint="-0.24994659260841701"/>
                </patternFill>
              </fill>
            </x14:dxf>
          </x14:cfRule>
          <xm:sqref>CN69:CN73</xm:sqref>
        </x14:conditionalFormatting>
        <x14:conditionalFormatting xmlns:xm="http://schemas.microsoft.com/office/excel/2006/main">
          <x14:cfRule type="containsText" priority="166" operator="containsText" id="{065AB3BB-EC57-41EA-9441-E45C67726C1B}">
            <xm:f>NOT(ISERROR(SEARCH("-",CP69)))</xm:f>
            <xm:f>"-"</xm:f>
            <x14:dxf>
              <fill>
                <patternFill>
                  <bgColor theme="0" tint="-0.24994659260841701"/>
                </patternFill>
              </fill>
            </x14:dxf>
          </x14:cfRule>
          <xm:sqref>CP69:CP73</xm:sqref>
        </x14:conditionalFormatting>
        <x14:conditionalFormatting xmlns:xm="http://schemas.microsoft.com/office/excel/2006/main">
          <x14:cfRule type="expression" priority="65" id="{05F5BFF8-E57B-4E81-A9D0-14A2AF18F76A}">
            <xm:f>V6&lt;Benchmark!$N$4</xm:f>
            <x14:dxf>
              <fill>
                <patternFill>
                  <bgColor rgb="FF92D050"/>
                </patternFill>
              </fill>
            </x14:dxf>
          </x14:cfRule>
          <x14:cfRule type="expression" priority="66" id="{C4AC198A-3121-41A7-B9A3-F264D7156D1F}">
            <xm:f>V6&gt;Benchmark!$N$4</xm:f>
            <x14:dxf>
              <fill>
                <patternFill>
                  <bgColor rgb="FFFF0000"/>
                </patternFill>
              </fill>
            </x14:dxf>
          </x14:cfRule>
          <xm:sqref>V6:V62 V69:V73</xm:sqref>
        </x14:conditionalFormatting>
        <x14:conditionalFormatting xmlns:xm="http://schemas.microsoft.com/office/excel/2006/main">
          <x14:cfRule type="iconSet" priority="64" id="{022D739B-18D2-4487-82CE-419D4813A713}">
            <x14:iconSet custom="1">
              <x14:cfvo type="percent">
                <xm:f>0</xm:f>
              </x14:cfvo>
              <x14:cfvo type="formula">
                <xm:f>$W$6</xm:f>
              </x14:cfvo>
              <x14:cfvo type="formula" gte="0">
                <xm:f>$W$6</xm:f>
              </x14:cfvo>
              <x14:cfIcon iconSet="3TrafficLights1" iconId="2"/>
              <x14:cfIcon iconSet="3TrafficLights1" iconId="1"/>
              <x14:cfIcon iconSet="3TrafficLights1" iconId="0"/>
            </x14:iconSet>
          </x14:cfRule>
          <xm:sqref>V6</xm:sqref>
        </x14:conditionalFormatting>
        <x14:conditionalFormatting xmlns:xm="http://schemas.microsoft.com/office/excel/2006/main">
          <x14:cfRule type="iconSet" priority="63" id="{D10968A9-C24D-443D-A05F-F78456A7F187}">
            <x14:iconSet custom="1">
              <x14:cfvo type="percent">
                <xm:f>0</xm:f>
              </x14:cfvo>
              <x14:cfvo type="formula">
                <xm:f>$W$7</xm:f>
              </x14:cfvo>
              <x14:cfvo type="formula" gte="0">
                <xm:f>$W$7</xm:f>
              </x14:cfvo>
              <x14:cfIcon iconSet="3TrafficLights1" iconId="2"/>
              <x14:cfIcon iconSet="3TrafficLights1" iconId="1"/>
              <x14:cfIcon iconSet="3TrafficLights1" iconId="0"/>
            </x14:iconSet>
          </x14:cfRule>
          <xm:sqref>V7</xm:sqref>
        </x14:conditionalFormatting>
        <x14:conditionalFormatting xmlns:xm="http://schemas.microsoft.com/office/excel/2006/main">
          <x14:cfRule type="iconSet" priority="62" id="{13AFD8E9-88B5-45A0-80A9-F1B585FED26D}">
            <x14:iconSet custom="1">
              <x14:cfvo type="percent">
                <xm:f>0</xm:f>
              </x14:cfvo>
              <x14:cfvo type="formula">
                <xm:f>$W$8</xm:f>
              </x14:cfvo>
              <x14:cfvo type="formula">
                <xm:f>$W$8</xm:f>
              </x14:cfvo>
              <x14:cfIcon iconSet="3TrafficLights1" iconId="2"/>
              <x14:cfIcon iconSet="3TrafficLights1" iconId="1"/>
              <x14:cfIcon iconSet="3TrafficLights1" iconId="0"/>
            </x14:iconSet>
          </x14:cfRule>
          <xm:sqref>V8</xm:sqref>
        </x14:conditionalFormatting>
        <x14:conditionalFormatting xmlns:xm="http://schemas.microsoft.com/office/excel/2006/main">
          <x14:cfRule type="iconSet" priority="61" id="{EFE4FE94-EA18-45EF-A4C0-6F0149177429}">
            <x14:iconSet custom="1">
              <x14:cfvo type="percent">
                <xm:f>0</xm:f>
              </x14:cfvo>
              <x14:cfvo type="formula">
                <xm:f>$W$9</xm:f>
              </x14:cfvo>
              <x14:cfvo type="formula" gte="0">
                <xm:f>$W$9</xm:f>
              </x14:cfvo>
              <x14:cfIcon iconSet="3TrafficLights1" iconId="2"/>
              <x14:cfIcon iconSet="3TrafficLights1" iconId="1"/>
              <x14:cfIcon iconSet="3TrafficLights1" iconId="0"/>
            </x14:iconSet>
          </x14:cfRule>
          <xm:sqref>V9</xm:sqref>
        </x14:conditionalFormatting>
        <x14:conditionalFormatting xmlns:xm="http://schemas.microsoft.com/office/excel/2006/main">
          <x14:cfRule type="iconSet" priority="60" id="{F3647233-2AE5-4AD0-B199-862708726A81}">
            <x14:iconSet custom="1">
              <x14:cfvo type="percent">
                <xm:f>0</xm:f>
              </x14:cfvo>
              <x14:cfvo type="formula">
                <xm:f>$W$10</xm:f>
              </x14:cfvo>
              <x14:cfvo type="formula">
                <xm:f>$W$10</xm:f>
              </x14:cfvo>
              <x14:cfIcon iconSet="3TrafficLights1" iconId="2"/>
              <x14:cfIcon iconSet="3TrafficLights1" iconId="1"/>
              <x14:cfIcon iconSet="3TrafficLights1" iconId="0"/>
            </x14:iconSet>
          </x14:cfRule>
          <xm:sqref>V10</xm:sqref>
        </x14:conditionalFormatting>
        <x14:conditionalFormatting xmlns:xm="http://schemas.microsoft.com/office/excel/2006/main">
          <x14:cfRule type="iconSet" priority="59" id="{CE5D3432-5CBB-4ED3-A8A4-793F8B573EEA}">
            <x14:iconSet custom="1">
              <x14:cfvo type="percent">
                <xm:f>0</xm:f>
              </x14:cfvo>
              <x14:cfvo type="formula">
                <xm:f>$W$11</xm:f>
              </x14:cfvo>
              <x14:cfvo type="formula" gte="0">
                <xm:f>$W$11</xm:f>
              </x14:cfvo>
              <x14:cfIcon iconSet="3TrafficLights1" iconId="2"/>
              <x14:cfIcon iconSet="3TrafficLights1" iconId="1"/>
              <x14:cfIcon iconSet="3TrafficLights1" iconId="0"/>
            </x14:iconSet>
          </x14:cfRule>
          <xm:sqref>V11</xm:sqref>
        </x14:conditionalFormatting>
        <x14:conditionalFormatting xmlns:xm="http://schemas.microsoft.com/office/excel/2006/main">
          <x14:cfRule type="iconSet" priority="58" id="{BC6CEAFC-9D75-4F8A-B701-D91D4E15ED5C}">
            <x14:iconSet custom="1">
              <x14:cfvo type="percent">
                <xm:f>0</xm:f>
              </x14:cfvo>
              <x14:cfvo type="formula">
                <xm:f>$W$73</xm:f>
              </x14:cfvo>
              <x14:cfvo type="formula" gte="0">
                <xm:f>$W$73</xm:f>
              </x14:cfvo>
              <x14:cfIcon iconSet="3TrafficLights1" iconId="2"/>
              <x14:cfIcon iconSet="3TrafficLights1" iconId="1"/>
              <x14:cfIcon iconSet="3TrafficLights1" iconId="0"/>
            </x14:iconSet>
          </x14:cfRule>
          <xm:sqref>V73</xm:sqref>
        </x14:conditionalFormatting>
        <x14:conditionalFormatting xmlns:xm="http://schemas.microsoft.com/office/excel/2006/main">
          <x14:cfRule type="iconSet" priority="57" id="{5BF7EF3D-E544-43A0-A8C1-AFBCEA7D1E8C}">
            <x14:iconSet custom="1">
              <x14:cfvo type="percent">
                <xm:f>0</xm:f>
              </x14:cfvo>
              <x14:cfvo type="formula">
                <xm:f>$W$72</xm:f>
              </x14:cfvo>
              <x14:cfvo type="formula" gte="0">
                <xm:f>$W$72</xm:f>
              </x14:cfvo>
              <x14:cfIcon iconSet="3TrafficLights1" iconId="2"/>
              <x14:cfIcon iconSet="3TrafficLights1" iconId="1"/>
              <x14:cfIcon iconSet="3TrafficLights1" iconId="0"/>
            </x14:iconSet>
          </x14:cfRule>
          <xm:sqref>V72</xm:sqref>
        </x14:conditionalFormatting>
        <x14:conditionalFormatting xmlns:xm="http://schemas.microsoft.com/office/excel/2006/main">
          <x14:cfRule type="iconSet" priority="56" id="{184F7C4E-3874-430D-B136-88F786AC306A}">
            <x14:iconSet custom="1">
              <x14:cfvo type="percent">
                <xm:f>0</xm:f>
              </x14:cfvo>
              <x14:cfvo type="formula">
                <xm:f>$W$71</xm:f>
              </x14:cfvo>
              <x14:cfvo type="formula" gte="0">
                <xm:f>$W$71</xm:f>
              </x14:cfvo>
              <x14:cfIcon iconSet="3TrafficLights1" iconId="2"/>
              <x14:cfIcon iconSet="3TrafficLights1" iconId="1"/>
              <x14:cfIcon iconSet="3TrafficLights1" iconId="0"/>
            </x14:iconSet>
          </x14:cfRule>
          <xm:sqref>V71</xm:sqref>
        </x14:conditionalFormatting>
        <x14:conditionalFormatting xmlns:xm="http://schemas.microsoft.com/office/excel/2006/main">
          <x14:cfRule type="iconSet" priority="55" id="{756D196A-B8B3-41C8-8D58-9A79D7A4218D}">
            <x14:iconSet custom="1">
              <x14:cfvo type="percent">
                <xm:f>0</xm:f>
              </x14:cfvo>
              <x14:cfvo type="formula">
                <xm:f>$W$70</xm:f>
              </x14:cfvo>
              <x14:cfvo type="formula" gte="0">
                <xm:f>$W$70</xm:f>
              </x14:cfvo>
              <x14:cfIcon iconSet="3TrafficLights1" iconId="2"/>
              <x14:cfIcon iconSet="3TrafficLights1" iconId="1"/>
              <x14:cfIcon iconSet="3TrafficLights1" iconId="0"/>
            </x14:iconSet>
          </x14:cfRule>
          <xm:sqref>V70</xm:sqref>
        </x14:conditionalFormatting>
        <x14:conditionalFormatting xmlns:xm="http://schemas.microsoft.com/office/excel/2006/main">
          <x14:cfRule type="iconSet" priority="54" id="{165E6009-8AA7-448A-A74A-C0EF9AFF9EA1}">
            <x14:iconSet custom="1">
              <x14:cfvo type="percent">
                <xm:f>0</xm:f>
              </x14:cfvo>
              <x14:cfvo type="formula">
                <xm:f>$W$69</xm:f>
              </x14:cfvo>
              <x14:cfvo type="formula" gte="0">
                <xm:f>$W$69</xm:f>
              </x14:cfvo>
              <x14:cfIcon iconSet="3TrafficLights1" iconId="2"/>
              <x14:cfIcon iconSet="3TrafficLights1" iconId="1"/>
              <x14:cfIcon iconSet="3TrafficLights1" iconId="0"/>
            </x14:iconSet>
          </x14:cfRule>
          <xm:sqref>V69</xm:sqref>
        </x14:conditionalFormatting>
        <x14:conditionalFormatting xmlns:xm="http://schemas.microsoft.com/office/excel/2006/main">
          <x14:cfRule type="iconSet" priority="53" id="{FBAFCD90-4306-4725-9463-13DCCBB94023}">
            <x14:iconSet custom="1">
              <x14:cfvo type="percent">
                <xm:f>0</xm:f>
              </x14:cfvo>
              <x14:cfvo type="formula">
                <xm:f>$W$62</xm:f>
              </x14:cfvo>
              <x14:cfvo type="formula" gte="0">
                <xm:f>$W$62</xm:f>
              </x14:cfvo>
              <x14:cfIcon iconSet="3TrafficLights1" iconId="2"/>
              <x14:cfIcon iconSet="3TrafficLights1" iconId="1"/>
              <x14:cfIcon iconSet="3TrafficLights1" iconId="0"/>
            </x14:iconSet>
          </x14:cfRule>
          <xm:sqref>V62</xm:sqref>
        </x14:conditionalFormatting>
        <x14:conditionalFormatting xmlns:xm="http://schemas.microsoft.com/office/excel/2006/main">
          <x14:cfRule type="iconSet" priority="52" id="{7529FAB7-AF8C-48C9-94AB-15EA8D347920}">
            <x14:iconSet custom="1">
              <x14:cfvo type="percent">
                <xm:f>0</xm:f>
              </x14:cfvo>
              <x14:cfvo type="formula">
                <xm:f>$W$61</xm:f>
              </x14:cfvo>
              <x14:cfvo type="formula" gte="0">
                <xm:f>$W$61</xm:f>
              </x14:cfvo>
              <x14:cfIcon iconSet="3TrafficLights1" iconId="2"/>
              <x14:cfIcon iconSet="3TrafficLights1" iconId="1"/>
              <x14:cfIcon iconSet="3TrafficLights1" iconId="0"/>
            </x14:iconSet>
          </x14:cfRule>
          <xm:sqref>V61</xm:sqref>
        </x14:conditionalFormatting>
        <x14:conditionalFormatting xmlns:xm="http://schemas.microsoft.com/office/excel/2006/main">
          <x14:cfRule type="iconSet" priority="50" id="{7B5B3B8D-DB61-403D-BC54-06C081D78A7B}">
            <x14:iconSet custom="1">
              <x14:cfvo type="percent">
                <xm:f>0</xm:f>
              </x14:cfvo>
              <x14:cfvo type="formula">
                <xm:f>$W$60</xm:f>
              </x14:cfvo>
              <x14:cfvo type="formula" gte="0">
                <xm:f>$W$60</xm:f>
              </x14:cfvo>
              <x14:cfIcon iconSet="3TrafficLights1" iconId="2"/>
              <x14:cfIcon iconSet="3TrafficLights1" iconId="1"/>
              <x14:cfIcon iconSet="3TrafficLights1" iconId="0"/>
            </x14:iconSet>
          </x14:cfRule>
          <xm:sqref>V60</xm:sqref>
        </x14:conditionalFormatting>
        <x14:conditionalFormatting xmlns:xm="http://schemas.microsoft.com/office/excel/2006/main">
          <x14:cfRule type="iconSet" priority="49" id="{975F23A0-4AD6-40C6-85F9-5737F10F11B4}">
            <x14:iconSet custom="1">
              <x14:cfvo type="percent">
                <xm:f>0</xm:f>
              </x14:cfvo>
              <x14:cfvo type="formula">
                <xm:f>$W$59</xm:f>
              </x14:cfvo>
              <x14:cfvo type="formula" gte="0">
                <xm:f>$W$59</xm:f>
              </x14:cfvo>
              <x14:cfIcon iconSet="3TrafficLights1" iconId="2"/>
              <x14:cfIcon iconSet="3TrafficLights1" iconId="1"/>
              <x14:cfIcon iconSet="3TrafficLights1" iconId="0"/>
            </x14:iconSet>
          </x14:cfRule>
          <xm:sqref>V59</xm:sqref>
        </x14:conditionalFormatting>
        <x14:conditionalFormatting xmlns:xm="http://schemas.microsoft.com/office/excel/2006/main">
          <x14:cfRule type="iconSet" priority="48" id="{F6806F27-0F56-41EB-B964-DA4BE281AB15}">
            <x14:iconSet custom="1">
              <x14:cfvo type="percent">
                <xm:f>0</xm:f>
              </x14:cfvo>
              <x14:cfvo type="formula">
                <xm:f>$W$12</xm:f>
              </x14:cfvo>
              <x14:cfvo type="formula" gte="0">
                <xm:f>$W$12</xm:f>
              </x14:cfvo>
              <x14:cfIcon iconSet="3TrafficLights1" iconId="2"/>
              <x14:cfIcon iconSet="3TrafficLights1" iconId="1"/>
              <x14:cfIcon iconSet="3TrafficLights1" iconId="0"/>
            </x14:iconSet>
          </x14:cfRule>
          <xm:sqref>V12</xm:sqref>
        </x14:conditionalFormatting>
        <x14:conditionalFormatting xmlns:xm="http://schemas.microsoft.com/office/excel/2006/main">
          <x14:cfRule type="iconSet" priority="47" id="{9B2E7D95-C581-41B9-AE9D-8C7F89CDA73B}">
            <x14:iconSet custom="1">
              <x14:cfvo type="percent">
                <xm:f>0</xm:f>
              </x14:cfvo>
              <x14:cfvo type="formula">
                <xm:f>$W$13</xm:f>
              </x14:cfvo>
              <x14:cfvo type="formula" gte="0">
                <xm:f>$W$13</xm:f>
              </x14:cfvo>
              <x14:cfIcon iconSet="3TrafficLights1" iconId="2"/>
              <x14:cfIcon iconSet="3TrafficLights1" iconId="1"/>
              <x14:cfIcon iconSet="3TrafficLights1" iconId="0"/>
            </x14:iconSet>
          </x14:cfRule>
          <xm:sqref>V13</xm:sqref>
        </x14:conditionalFormatting>
        <x14:conditionalFormatting xmlns:xm="http://schemas.microsoft.com/office/excel/2006/main">
          <x14:cfRule type="iconSet" priority="46" id="{3CBC0331-2F24-40C6-8B3D-14E3D9D2677D}">
            <x14:iconSet custom="1">
              <x14:cfvo type="percent">
                <xm:f>0</xm:f>
              </x14:cfvo>
              <x14:cfvo type="formula">
                <xm:f>$W$14</xm:f>
              </x14:cfvo>
              <x14:cfvo type="formula" gte="0">
                <xm:f>$W$14</xm:f>
              </x14:cfvo>
              <x14:cfIcon iconSet="3TrafficLights1" iconId="2"/>
              <x14:cfIcon iconSet="3TrafficLights1" iconId="1"/>
              <x14:cfIcon iconSet="3TrafficLights1" iconId="0"/>
            </x14:iconSet>
          </x14:cfRule>
          <xm:sqref>V14</xm:sqref>
        </x14:conditionalFormatting>
        <x14:conditionalFormatting xmlns:xm="http://schemas.microsoft.com/office/excel/2006/main">
          <x14:cfRule type="iconSet" priority="45" id="{3CD72A05-FE49-4D9A-AEAF-4C2C78EC2DB9}">
            <x14:iconSet custom="1">
              <x14:cfvo type="percent">
                <xm:f>0</xm:f>
              </x14:cfvo>
              <x14:cfvo type="formula">
                <xm:f>$W$15</xm:f>
              </x14:cfvo>
              <x14:cfvo type="formula" gte="0">
                <xm:f>$W$15</xm:f>
              </x14:cfvo>
              <x14:cfIcon iconSet="3TrafficLights1" iconId="2"/>
              <x14:cfIcon iconSet="3TrafficLights1" iconId="1"/>
              <x14:cfIcon iconSet="3TrafficLights1" iconId="0"/>
            </x14:iconSet>
          </x14:cfRule>
          <xm:sqref>V15</xm:sqref>
        </x14:conditionalFormatting>
        <x14:conditionalFormatting xmlns:xm="http://schemas.microsoft.com/office/excel/2006/main">
          <x14:cfRule type="iconSet" priority="44" id="{E0BB54DA-1160-49E5-80A4-A7ED2F26B7BF}">
            <x14:iconSet custom="1">
              <x14:cfvo type="percent">
                <xm:f>0</xm:f>
              </x14:cfvo>
              <x14:cfvo type="formula">
                <xm:f>$W$16</xm:f>
              </x14:cfvo>
              <x14:cfvo type="formula" gte="0">
                <xm:f>$W$16</xm:f>
              </x14:cfvo>
              <x14:cfIcon iconSet="3TrafficLights1" iconId="2"/>
              <x14:cfIcon iconSet="3TrafficLights1" iconId="1"/>
              <x14:cfIcon iconSet="3TrafficLights1" iconId="0"/>
            </x14:iconSet>
          </x14:cfRule>
          <xm:sqref>V16</xm:sqref>
        </x14:conditionalFormatting>
        <x14:conditionalFormatting xmlns:xm="http://schemas.microsoft.com/office/excel/2006/main">
          <x14:cfRule type="iconSet" priority="43" id="{2B5D41FF-DE70-498B-AAE0-CF80737E6451}">
            <x14:iconSet custom="1">
              <x14:cfvo type="percent">
                <xm:f>0</xm:f>
              </x14:cfvo>
              <x14:cfvo type="formula">
                <xm:f>$W$17</xm:f>
              </x14:cfvo>
              <x14:cfvo type="formula" gte="0">
                <xm:f>$W$17</xm:f>
              </x14:cfvo>
              <x14:cfIcon iconSet="3TrafficLights1" iconId="2"/>
              <x14:cfIcon iconSet="3TrafficLights1" iconId="1"/>
              <x14:cfIcon iconSet="3TrafficLights1" iconId="0"/>
            </x14:iconSet>
          </x14:cfRule>
          <xm:sqref>V17</xm:sqref>
        </x14:conditionalFormatting>
        <x14:conditionalFormatting xmlns:xm="http://schemas.microsoft.com/office/excel/2006/main">
          <x14:cfRule type="iconSet" priority="42" id="{E37D6B8E-BC39-4107-AC0D-2FEBAE974D2C}">
            <x14:iconSet custom="1">
              <x14:cfvo type="percent">
                <xm:f>0</xm:f>
              </x14:cfvo>
              <x14:cfvo type="formula">
                <xm:f>$W$18</xm:f>
              </x14:cfvo>
              <x14:cfvo type="formula" gte="0">
                <xm:f>$W$18</xm:f>
              </x14:cfvo>
              <x14:cfIcon iconSet="3TrafficLights1" iconId="2"/>
              <x14:cfIcon iconSet="3TrafficLights1" iconId="1"/>
              <x14:cfIcon iconSet="3TrafficLights1" iconId="0"/>
            </x14:iconSet>
          </x14:cfRule>
          <xm:sqref>V18</xm:sqref>
        </x14:conditionalFormatting>
        <x14:conditionalFormatting xmlns:xm="http://schemas.microsoft.com/office/excel/2006/main">
          <x14:cfRule type="iconSet" priority="41" id="{8B67D0EA-533E-43C4-9A20-A0B06CD4658F}">
            <x14:iconSet custom="1">
              <x14:cfvo type="percent">
                <xm:f>0</xm:f>
              </x14:cfvo>
              <x14:cfvo type="formula">
                <xm:f>$W$19</xm:f>
              </x14:cfvo>
              <x14:cfvo type="formula" gte="0">
                <xm:f>$W$19</xm:f>
              </x14:cfvo>
              <x14:cfIcon iconSet="3TrafficLights1" iconId="2"/>
              <x14:cfIcon iconSet="3TrafficLights1" iconId="1"/>
              <x14:cfIcon iconSet="3TrafficLights1" iconId="0"/>
            </x14:iconSet>
          </x14:cfRule>
          <xm:sqref>V19</xm:sqref>
        </x14:conditionalFormatting>
        <x14:conditionalFormatting xmlns:xm="http://schemas.microsoft.com/office/excel/2006/main">
          <x14:cfRule type="iconSet" priority="40" id="{3616FD71-ABE0-4BD3-A7BF-751839DBF870}">
            <x14:iconSet custom="1">
              <x14:cfvo type="percent">
                <xm:f>0</xm:f>
              </x14:cfvo>
              <x14:cfvo type="formula">
                <xm:f>$W$20</xm:f>
              </x14:cfvo>
              <x14:cfvo type="formula" gte="0">
                <xm:f>$W$20</xm:f>
              </x14:cfvo>
              <x14:cfIcon iconSet="3TrafficLights1" iconId="2"/>
              <x14:cfIcon iconSet="3TrafficLights1" iconId="1"/>
              <x14:cfIcon iconSet="3TrafficLights1" iconId="0"/>
            </x14:iconSet>
          </x14:cfRule>
          <xm:sqref>V20</xm:sqref>
        </x14:conditionalFormatting>
        <x14:conditionalFormatting xmlns:xm="http://schemas.microsoft.com/office/excel/2006/main">
          <x14:cfRule type="iconSet" priority="39" id="{F94DCABD-1E08-422B-B288-98D2417CC3C3}">
            <x14:iconSet custom="1">
              <x14:cfvo type="percent">
                <xm:f>0</xm:f>
              </x14:cfvo>
              <x14:cfvo type="formula">
                <xm:f>$W$21</xm:f>
              </x14:cfvo>
              <x14:cfvo type="formula" gte="0">
                <xm:f>$W$21</xm:f>
              </x14:cfvo>
              <x14:cfIcon iconSet="3TrafficLights1" iconId="2"/>
              <x14:cfIcon iconSet="3TrafficLights1" iconId="1"/>
              <x14:cfIcon iconSet="3TrafficLights1" iconId="0"/>
            </x14:iconSet>
          </x14:cfRule>
          <xm:sqref>V21</xm:sqref>
        </x14:conditionalFormatting>
        <x14:conditionalFormatting xmlns:xm="http://schemas.microsoft.com/office/excel/2006/main">
          <x14:cfRule type="iconSet" priority="38" id="{301A6E73-1756-4965-BEB8-3DD638378DCA}">
            <x14:iconSet custom="1">
              <x14:cfvo type="percent">
                <xm:f>0</xm:f>
              </x14:cfvo>
              <x14:cfvo type="formula">
                <xm:f>$W$22</xm:f>
              </x14:cfvo>
              <x14:cfvo type="formula" gte="0">
                <xm:f>$W$22</xm:f>
              </x14:cfvo>
              <x14:cfIcon iconSet="3TrafficLights1" iconId="2"/>
              <x14:cfIcon iconSet="3TrafficLights1" iconId="1"/>
              <x14:cfIcon iconSet="3TrafficLights1" iconId="0"/>
            </x14:iconSet>
          </x14:cfRule>
          <xm:sqref>V22</xm:sqref>
        </x14:conditionalFormatting>
        <x14:conditionalFormatting xmlns:xm="http://schemas.microsoft.com/office/excel/2006/main">
          <x14:cfRule type="iconSet" priority="37" id="{F5EB2522-8F8F-4D2E-91D9-36F63C0CEC11}">
            <x14:iconSet custom="1">
              <x14:cfvo type="percent">
                <xm:f>0</xm:f>
              </x14:cfvo>
              <x14:cfvo type="formula">
                <xm:f>$W$58</xm:f>
              </x14:cfvo>
              <x14:cfvo type="formula" gte="0">
                <xm:f>$W$58</xm:f>
              </x14:cfvo>
              <x14:cfIcon iconSet="3TrafficLights1" iconId="2"/>
              <x14:cfIcon iconSet="3TrafficLights1" iconId="1"/>
              <x14:cfIcon iconSet="3TrafficLights1" iconId="0"/>
            </x14:iconSet>
          </x14:cfRule>
          <xm:sqref>V58</xm:sqref>
        </x14:conditionalFormatting>
        <x14:conditionalFormatting xmlns:xm="http://schemas.microsoft.com/office/excel/2006/main">
          <x14:cfRule type="iconSet" priority="36" id="{40C65225-3900-4191-BDE4-4804859A815B}">
            <x14:iconSet custom="1">
              <x14:cfvo type="percent">
                <xm:f>0</xm:f>
              </x14:cfvo>
              <x14:cfvo type="formula">
                <xm:f>$W$57</xm:f>
              </x14:cfvo>
              <x14:cfvo type="formula" gte="0">
                <xm:f>$W$57</xm:f>
              </x14:cfvo>
              <x14:cfIcon iconSet="3TrafficLights1" iconId="2"/>
              <x14:cfIcon iconSet="3TrafficLights1" iconId="1"/>
              <x14:cfIcon iconSet="3TrafficLights1" iconId="0"/>
            </x14:iconSet>
          </x14:cfRule>
          <xm:sqref>V57</xm:sqref>
        </x14:conditionalFormatting>
        <x14:conditionalFormatting xmlns:xm="http://schemas.microsoft.com/office/excel/2006/main">
          <x14:cfRule type="iconSet" priority="35" id="{4E0CF81E-37DF-4AD9-875D-0502F37A0500}">
            <x14:iconSet custom="1">
              <x14:cfvo type="percent">
                <xm:f>0</xm:f>
              </x14:cfvo>
              <x14:cfvo type="formula">
                <xm:f>$W$56</xm:f>
              </x14:cfvo>
              <x14:cfvo type="formula" gte="0">
                <xm:f>$W$56</xm:f>
              </x14:cfvo>
              <x14:cfIcon iconSet="3TrafficLights1" iconId="2"/>
              <x14:cfIcon iconSet="3TrafficLights1" iconId="1"/>
              <x14:cfIcon iconSet="3TrafficLights1" iconId="0"/>
            </x14:iconSet>
          </x14:cfRule>
          <xm:sqref>V56</xm:sqref>
        </x14:conditionalFormatting>
        <x14:conditionalFormatting xmlns:xm="http://schemas.microsoft.com/office/excel/2006/main">
          <x14:cfRule type="iconSet" priority="34" id="{0DB3B604-1229-436C-8019-E259F78B5D57}">
            <x14:iconSet custom="1">
              <x14:cfvo type="percent">
                <xm:f>0</xm:f>
              </x14:cfvo>
              <x14:cfvo type="formula">
                <xm:f>$W$55</xm:f>
              </x14:cfvo>
              <x14:cfvo type="formula" gte="0">
                <xm:f>$W$55</xm:f>
              </x14:cfvo>
              <x14:cfIcon iconSet="3TrafficLights1" iconId="2"/>
              <x14:cfIcon iconSet="3TrafficLights1" iconId="1"/>
              <x14:cfIcon iconSet="3TrafficLights1" iconId="0"/>
            </x14:iconSet>
          </x14:cfRule>
          <xm:sqref>V55</xm:sqref>
        </x14:conditionalFormatting>
        <x14:conditionalFormatting xmlns:xm="http://schemas.microsoft.com/office/excel/2006/main">
          <x14:cfRule type="iconSet" priority="33" id="{B099F532-D639-4B29-A3EB-EC0D5F6F4C7B}">
            <x14:iconSet custom="1">
              <x14:cfvo type="percent">
                <xm:f>0</xm:f>
              </x14:cfvo>
              <x14:cfvo type="formula">
                <xm:f>$W$54</xm:f>
              </x14:cfvo>
              <x14:cfvo type="formula" gte="0">
                <xm:f>$W$54</xm:f>
              </x14:cfvo>
              <x14:cfIcon iconSet="3TrafficLights1" iconId="2"/>
              <x14:cfIcon iconSet="3TrafficLights1" iconId="1"/>
              <x14:cfIcon iconSet="3TrafficLights1" iconId="0"/>
            </x14:iconSet>
          </x14:cfRule>
          <xm:sqref>V54</xm:sqref>
        </x14:conditionalFormatting>
        <x14:conditionalFormatting xmlns:xm="http://schemas.microsoft.com/office/excel/2006/main">
          <x14:cfRule type="iconSet" priority="32" id="{62E836AD-9285-44C9-9DAC-289BB387B4AA}">
            <x14:iconSet custom="1">
              <x14:cfvo type="percent">
                <xm:f>0</xm:f>
              </x14:cfvo>
              <x14:cfvo type="formula">
                <xm:f>$W$53</xm:f>
              </x14:cfvo>
              <x14:cfvo type="formula" gte="0">
                <xm:f>$W$53</xm:f>
              </x14:cfvo>
              <x14:cfIcon iconSet="3TrafficLights1" iconId="2"/>
              <x14:cfIcon iconSet="3TrafficLights1" iconId="1"/>
              <x14:cfIcon iconSet="3TrafficLights1" iconId="0"/>
            </x14:iconSet>
          </x14:cfRule>
          <xm:sqref>V53</xm:sqref>
        </x14:conditionalFormatting>
        <x14:conditionalFormatting xmlns:xm="http://schemas.microsoft.com/office/excel/2006/main">
          <x14:cfRule type="iconSet" priority="31" id="{2BEDCF25-F4AE-47CE-A27F-94ED36D5664A}">
            <x14:iconSet custom="1">
              <x14:cfvo type="percent">
                <xm:f>0</xm:f>
              </x14:cfvo>
              <x14:cfvo type="formula">
                <xm:f>$W$52</xm:f>
              </x14:cfvo>
              <x14:cfvo type="formula" gte="0">
                <xm:f>$W$52</xm:f>
              </x14:cfvo>
              <x14:cfIcon iconSet="3TrafficLights1" iconId="2"/>
              <x14:cfIcon iconSet="3TrafficLights1" iconId="1"/>
              <x14:cfIcon iconSet="3TrafficLights1" iconId="0"/>
            </x14:iconSet>
          </x14:cfRule>
          <xm:sqref>V52</xm:sqref>
        </x14:conditionalFormatting>
        <x14:conditionalFormatting xmlns:xm="http://schemas.microsoft.com/office/excel/2006/main">
          <x14:cfRule type="iconSet" priority="30" id="{62FADD69-F8D6-4F32-B460-E1FE81CFE589}">
            <x14:iconSet custom="1">
              <x14:cfvo type="percent">
                <xm:f>0</xm:f>
              </x14:cfvo>
              <x14:cfvo type="formula">
                <xm:f>$W$23</xm:f>
              </x14:cfvo>
              <x14:cfvo type="formula" gte="0">
                <xm:f>$W$23</xm:f>
              </x14:cfvo>
              <x14:cfIcon iconSet="3TrafficLights1" iconId="2"/>
              <x14:cfIcon iconSet="3TrafficLights1" iconId="1"/>
              <x14:cfIcon iconSet="3TrafficLights1" iconId="0"/>
            </x14:iconSet>
          </x14:cfRule>
          <xm:sqref>V23</xm:sqref>
        </x14:conditionalFormatting>
        <x14:conditionalFormatting xmlns:xm="http://schemas.microsoft.com/office/excel/2006/main">
          <x14:cfRule type="iconSet" priority="29" id="{C1904C3E-AA6B-4FA1-9EA7-62A58F159FDC}">
            <x14:iconSet custom="1">
              <x14:cfvo type="percent">
                <xm:f>0</xm:f>
              </x14:cfvo>
              <x14:cfvo type="formula">
                <xm:f>$W$24</xm:f>
              </x14:cfvo>
              <x14:cfvo type="formula" gte="0">
                <xm:f>$W$24</xm:f>
              </x14:cfvo>
              <x14:cfIcon iconSet="3TrafficLights1" iconId="2"/>
              <x14:cfIcon iconSet="3TrafficLights1" iconId="1"/>
              <x14:cfIcon iconSet="3TrafficLights1" iconId="0"/>
            </x14:iconSet>
          </x14:cfRule>
          <xm:sqref>V24</xm:sqref>
        </x14:conditionalFormatting>
        <x14:conditionalFormatting xmlns:xm="http://schemas.microsoft.com/office/excel/2006/main">
          <x14:cfRule type="iconSet" priority="28" id="{995B82D8-86CF-4F40-8C1A-5991BC708B3F}">
            <x14:iconSet custom="1">
              <x14:cfvo type="percent">
                <xm:f>0</xm:f>
              </x14:cfvo>
              <x14:cfvo type="formula">
                <xm:f>$W$25</xm:f>
              </x14:cfvo>
              <x14:cfvo type="formula" gte="0">
                <xm:f>$W$25</xm:f>
              </x14:cfvo>
              <x14:cfIcon iconSet="3TrafficLights1" iconId="2"/>
              <x14:cfIcon iconSet="3TrafficLights1" iconId="1"/>
              <x14:cfIcon iconSet="3TrafficLights1" iconId="0"/>
            </x14:iconSet>
          </x14:cfRule>
          <xm:sqref>V25</xm:sqref>
        </x14:conditionalFormatting>
        <x14:conditionalFormatting xmlns:xm="http://schemas.microsoft.com/office/excel/2006/main">
          <x14:cfRule type="iconSet" priority="27" id="{545BC0C0-AEE4-4922-AFF2-2425F2CC34FE}">
            <x14:iconSet custom="1">
              <x14:cfvo type="percent">
                <xm:f>0</xm:f>
              </x14:cfvo>
              <x14:cfvo type="formula">
                <xm:f>$W$26</xm:f>
              </x14:cfvo>
              <x14:cfvo type="formula" gte="0">
                <xm:f>$W$26</xm:f>
              </x14:cfvo>
              <x14:cfIcon iconSet="3TrafficLights1" iconId="2"/>
              <x14:cfIcon iconSet="3TrafficLights1" iconId="1"/>
              <x14:cfIcon iconSet="3TrafficLights1" iconId="0"/>
            </x14:iconSet>
          </x14:cfRule>
          <xm:sqref>V26</xm:sqref>
        </x14:conditionalFormatting>
        <x14:conditionalFormatting xmlns:xm="http://schemas.microsoft.com/office/excel/2006/main">
          <x14:cfRule type="iconSet" priority="26" id="{D24CEBF7-D3FB-415D-89E7-FFD99B264C5C}">
            <x14:iconSet custom="1">
              <x14:cfvo type="percent">
                <xm:f>0</xm:f>
              </x14:cfvo>
              <x14:cfvo type="formula">
                <xm:f>$W$27</xm:f>
              </x14:cfvo>
              <x14:cfvo type="formula" gte="0">
                <xm:f>$W$27</xm:f>
              </x14:cfvo>
              <x14:cfIcon iconSet="3TrafficLights1" iconId="2"/>
              <x14:cfIcon iconSet="3TrafficLights1" iconId="1"/>
              <x14:cfIcon iconSet="3TrafficLights1" iconId="0"/>
            </x14:iconSet>
          </x14:cfRule>
          <xm:sqref>V27</xm:sqref>
        </x14:conditionalFormatting>
        <x14:conditionalFormatting xmlns:xm="http://schemas.microsoft.com/office/excel/2006/main">
          <x14:cfRule type="iconSet" priority="25" id="{336BC461-7654-4270-8FC4-0BE99FDD02BB}">
            <x14:iconSet custom="1">
              <x14:cfvo type="percent">
                <xm:f>0</xm:f>
              </x14:cfvo>
              <x14:cfvo type="formula">
                <xm:f>$W$28</xm:f>
              </x14:cfvo>
              <x14:cfvo type="formula" gte="0">
                <xm:f>$W$28</xm:f>
              </x14:cfvo>
              <x14:cfIcon iconSet="3TrafficLights1" iconId="2"/>
              <x14:cfIcon iconSet="3TrafficLights1" iconId="1"/>
              <x14:cfIcon iconSet="3TrafficLights1" iconId="0"/>
            </x14:iconSet>
          </x14:cfRule>
          <xm:sqref>V28</xm:sqref>
        </x14:conditionalFormatting>
        <x14:conditionalFormatting xmlns:xm="http://schemas.microsoft.com/office/excel/2006/main">
          <x14:cfRule type="iconSet" priority="24" id="{62C5BB79-DC5D-4D86-8B48-78EC5F616C09}">
            <x14:iconSet custom="1">
              <x14:cfvo type="percent">
                <xm:f>0</xm:f>
              </x14:cfvo>
              <x14:cfvo type="formula">
                <xm:f>$W$29</xm:f>
              </x14:cfvo>
              <x14:cfvo type="formula" gte="0">
                <xm:f>$W$29</xm:f>
              </x14:cfvo>
              <x14:cfIcon iconSet="3TrafficLights1" iconId="2"/>
              <x14:cfIcon iconSet="3TrafficLights1" iconId="1"/>
              <x14:cfIcon iconSet="3TrafficLights1" iconId="0"/>
            </x14:iconSet>
          </x14:cfRule>
          <xm:sqref>V29</xm:sqref>
        </x14:conditionalFormatting>
        <x14:conditionalFormatting xmlns:xm="http://schemas.microsoft.com/office/excel/2006/main">
          <x14:cfRule type="iconSet" priority="23" id="{FF5EA22E-C4B9-41EE-906A-82AA501C605C}">
            <x14:iconSet custom="1">
              <x14:cfvo type="percent">
                <xm:f>0</xm:f>
              </x14:cfvo>
              <x14:cfvo type="formula">
                <xm:f>$W$30</xm:f>
              </x14:cfvo>
              <x14:cfvo type="formula" gte="0">
                <xm:f>$W$30</xm:f>
              </x14:cfvo>
              <x14:cfIcon iconSet="3TrafficLights1" iconId="2"/>
              <x14:cfIcon iconSet="3TrafficLights1" iconId="1"/>
              <x14:cfIcon iconSet="3TrafficLights1" iconId="0"/>
            </x14:iconSet>
          </x14:cfRule>
          <xm:sqref>V30</xm:sqref>
        </x14:conditionalFormatting>
        <x14:conditionalFormatting xmlns:xm="http://schemas.microsoft.com/office/excel/2006/main">
          <x14:cfRule type="iconSet" priority="22" id="{9141B3C7-3E8B-4C10-8FE9-7B0AA8A855FC}">
            <x14:iconSet custom="1">
              <x14:cfvo type="percent">
                <xm:f>0</xm:f>
              </x14:cfvo>
              <x14:cfvo type="formula">
                <xm:f>$W$31</xm:f>
              </x14:cfvo>
              <x14:cfvo type="formula" gte="0">
                <xm:f>$W$31</xm:f>
              </x14:cfvo>
              <x14:cfIcon iconSet="3TrafficLights1" iconId="2"/>
              <x14:cfIcon iconSet="3TrafficLights1" iconId="1"/>
              <x14:cfIcon iconSet="3TrafficLights1" iconId="0"/>
            </x14:iconSet>
          </x14:cfRule>
          <xm:sqref>V31</xm:sqref>
        </x14:conditionalFormatting>
        <x14:conditionalFormatting xmlns:xm="http://schemas.microsoft.com/office/excel/2006/main">
          <x14:cfRule type="iconSet" priority="21" id="{B9CDB0B5-238F-471C-BBDF-5F09F49F6C05}">
            <x14:iconSet custom="1">
              <x14:cfvo type="percent">
                <xm:f>0</xm:f>
              </x14:cfvo>
              <x14:cfvo type="formula">
                <xm:f>$W$32</xm:f>
              </x14:cfvo>
              <x14:cfvo type="formula" gte="0">
                <xm:f>$W$32</xm:f>
              </x14:cfvo>
              <x14:cfIcon iconSet="3TrafficLights1" iconId="2"/>
              <x14:cfIcon iconSet="3TrafficLights1" iconId="1"/>
              <x14:cfIcon iconSet="3TrafficLights1" iconId="0"/>
            </x14:iconSet>
          </x14:cfRule>
          <xm:sqref>V32</xm:sqref>
        </x14:conditionalFormatting>
        <x14:conditionalFormatting xmlns:xm="http://schemas.microsoft.com/office/excel/2006/main">
          <x14:cfRule type="iconSet" priority="20" id="{7F11B168-1E7B-4110-AD57-7C48426F23A2}">
            <x14:iconSet custom="1">
              <x14:cfvo type="percent">
                <xm:f>0</xm:f>
              </x14:cfvo>
              <x14:cfvo type="formula">
                <xm:f>$W$51</xm:f>
              </x14:cfvo>
              <x14:cfvo type="formula" gte="0">
                <xm:f>$W$51</xm:f>
              </x14:cfvo>
              <x14:cfIcon iconSet="3TrafficLights1" iconId="2"/>
              <x14:cfIcon iconSet="3TrafficLights1" iconId="1"/>
              <x14:cfIcon iconSet="3TrafficLights1" iconId="0"/>
            </x14:iconSet>
          </x14:cfRule>
          <xm:sqref>V51</xm:sqref>
        </x14:conditionalFormatting>
        <x14:conditionalFormatting xmlns:xm="http://schemas.microsoft.com/office/excel/2006/main">
          <x14:cfRule type="iconSet" priority="19" id="{04B0B1E9-A148-4CB6-9B4D-68D941985EF6}">
            <x14:iconSet custom="1">
              <x14:cfvo type="percent">
                <xm:f>0</xm:f>
              </x14:cfvo>
              <x14:cfvo type="formula">
                <xm:f>$W$50</xm:f>
              </x14:cfvo>
              <x14:cfvo type="formula" gte="0">
                <xm:f>$W$50</xm:f>
              </x14:cfvo>
              <x14:cfIcon iconSet="3TrafficLights1" iconId="2"/>
              <x14:cfIcon iconSet="3TrafficLights1" iconId="1"/>
              <x14:cfIcon iconSet="3TrafficLights1" iconId="0"/>
            </x14:iconSet>
          </x14:cfRule>
          <xm:sqref>V50</xm:sqref>
        </x14:conditionalFormatting>
        <x14:conditionalFormatting xmlns:xm="http://schemas.microsoft.com/office/excel/2006/main">
          <x14:cfRule type="iconSet" priority="18" id="{D6F0201E-BC08-4D1A-BF4F-9F982C5EABCF}">
            <x14:iconSet custom="1">
              <x14:cfvo type="percent">
                <xm:f>0</xm:f>
              </x14:cfvo>
              <x14:cfvo type="formula">
                <xm:f>$W$49</xm:f>
              </x14:cfvo>
              <x14:cfvo type="formula" gte="0">
                <xm:f>$W$49</xm:f>
              </x14:cfvo>
              <x14:cfIcon iconSet="3TrafficLights1" iconId="2"/>
              <x14:cfIcon iconSet="3TrafficLights1" iconId="1"/>
              <x14:cfIcon iconSet="3TrafficLights1" iconId="0"/>
            </x14:iconSet>
          </x14:cfRule>
          <xm:sqref>V49</xm:sqref>
        </x14:conditionalFormatting>
        <x14:conditionalFormatting xmlns:xm="http://schemas.microsoft.com/office/excel/2006/main">
          <x14:cfRule type="iconSet" priority="17" id="{78BF345C-B8D0-4267-BB2B-71EB12F4215A}">
            <x14:iconSet custom="1">
              <x14:cfvo type="percent">
                <xm:f>0</xm:f>
              </x14:cfvo>
              <x14:cfvo type="formula">
                <xm:f>$W$33</xm:f>
              </x14:cfvo>
              <x14:cfvo type="formula" gte="0">
                <xm:f>$W$33</xm:f>
              </x14:cfvo>
              <x14:cfIcon iconSet="3TrafficLights1" iconId="2"/>
              <x14:cfIcon iconSet="3TrafficLights1" iconId="1"/>
              <x14:cfIcon iconSet="3TrafficLights1" iconId="0"/>
            </x14:iconSet>
          </x14:cfRule>
          <xm:sqref>V33</xm:sqref>
        </x14:conditionalFormatting>
        <x14:conditionalFormatting xmlns:xm="http://schemas.microsoft.com/office/excel/2006/main">
          <x14:cfRule type="iconSet" priority="16" id="{440FB6E8-5802-4E8E-9745-E27B31491273}">
            <x14:iconSet custom="1">
              <x14:cfvo type="percent">
                <xm:f>0</xm:f>
              </x14:cfvo>
              <x14:cfvo type="formula">
                <xm:f>$W$34</xm:f>
              </x14:cfvo>
              <x14:cfvo type="formula" gte="0">
                <xm:f>$W$34</xm:f>
              </x14:cfvo>
              <x14:cfIcon iconSet="3TrafficLights1" iconId="2"/>
              <x14:cfIcon iconSet="3TrafficLights1" iconId="1"/>
              <x14:cfIcon iconSet="3TrafficLights1" iconId="0"/>
            </x14:iconSet>
          </x14:cfRule>
          <xm:sqref>V34</xm:sqref>
        </x14:conditionalFormatting>
        <x14:conditionalFormatting xmlns:xm="http://schemas.microsoft.com/office/excel/2006/main">
          <x14:cfRule type="iconSet" priority="15" id="{892E1F1B-5FF0-4F81-BF48-400F0E2AD46F}">
            <x14:iconSet custom="1">
              <x14:cfvo type="percent">
                <xm:f>0</xm:f>
              </x14:cfvo>
              <x14:cfvo type="formula">
                <xm:f>$W$35</xm:f>
              </x14:cfvo>
              <x14:cfvo type="formula" gte="0">
                <xm:f>$W$35</xm:f>
              </x14:cfvo>
              <x14:cfIcon iconSet="3TrafficLights1" iconId="2"/>
              <x14:cfIcon iconSet="3TrafficLights1" iconId="1"/>
              <x14:cfIcon iconSet="3TrafficLights1" iconId="0"/>
            </x14:iconSet>
          </x14:cfRule>
          <xm:sqref>V35</xm:sqref>
        </x14:conditionalFormatting>
        <x14:conditionalFormatting xmlns:xm="http://schemas.microsoft.com/office/excel/2006/main">
          <x14:cfRule type="iconSet" priority="14" id="{938011E9-814E-4623-80B2-F751710B9C73}">
            <x14:iconSet custom="1">
              <x14:cfvo type="percent">
                <xm:f>0</xm:f>
              </x14:cfvo>
              <x14:cfvo type="formula">
                <xm:f>$W$36</xm:f>
              </x14:cfvo>
              <x14:cfvo type="formula" gte="0">
                <xm:f>$W$36</xm:f>
              </x14:cfvo>
              <x14:cfIcon iconSet="3TrafficLights1" iconId="2"/>
              <x14:cfIcon iconSet="3TrafficLights1" iconId="1"/>
              <x14:cfIcon iconSet="3TrafficLights1" iconId="0"/>
            </x14:iconSet>
          </x14:cfRule>
          <xm:sqref>V36</xm:sqref>
        </x14:conditionalFormatting>
        <x14:conditionalFormatting xmlns:xm="http://schemas.microsoft.com/office/excel/2006/main">
          <x14:cfRule type="iconSet" priority="13" id="{A7DEA3D7-65AF-4D76-848D-17D4AE6C247D}">
            <x14:iconSet custom="1">
              <x14:cfvo type="percent">
                <xm:f>0</xm:f>
              </x14:cfvo>
              <x14:cfvo type="formula">
                <xm:f>$W$37</xm:f>
              </x14:cfvo>
              <x14:cfvo type="formula" gte="0">
                <xm:f>$W$37</xm:f>
              </x14:cfvo>
              <x14:cfIcon iconSet="3TrafficLights1" iconId="2"/>
              <x14:cfIcon iconSet="3TrafficLights1" iconId="1"/>
              <x14:cfIcon iconSet="3TrafficLights1" iconId="0"/>
            </x14:iconSet>
          </x14:cfRule>
          <xm:sqref>V37</xm:sqref>
        </x14:conditionalFormatting>
        <x14:conditionalFormatting xmlns:xm="http://schemas.microsoft.com/office/excel/2006/main">
          <x14:cfRule type="iconSet" priority="12" id="{26B361E3-48CC-415C-984C-1EFCE3039B86}">
            <x14:iconSet custom="1">
              <x14:cfvo type="percent">
                <xm:f>0</xm:f>
              </x14:cfvo>
              <x14:cfvo type="formula">
                <xm:f>$W$38</xm:f>
              </x14:cfvo>
              <x14:cfvo type="formula" gte="0">
                <xm:f>$W$38</xm:f>
              </x14:cfvo>
              <x14:cfIcon iconSet="3TrafficLights1" iconId="2"/>
              <x14:cfIcon iconSet="3TrafficLights1" iconId="1"/>
              <x14:cfIcon iconSet="3TrafficLights1" iconId="0"/>
            </x14:iconSet>
          </x14:cfRule>
          <xm:sqref>V38</xm:sqref>
        </x14:conditionalFormatting>
        <x14:conditionalFormatting xmlns:xm="http://schemas.microsoft.com/office/excel/2006/main">
          <x14:cfRule type="iconSet" priority="11" id="{160DF1B4-082C-4D7D-9BDC-A25E0DB9629C}">
            <x14:iconSet custom="1">
              <x14:cfvo type="percent">
                <xm:f>0</xm:f>
              </x14:cfvo>
              <x14:cfvo type="formula">
                <xm:f>$W$48</xm:f>
              </x14:cfvo>
              <x14:cfvo type="formula" gte="0">
                <xm:f>$W$48</xm:f>
              </x14:cfvo>
              <x14:cfIcon iconSet="3TrafficLights1" iconId="2"/>
              <x14:cfIcon iconSet="3TrafficLights1" iconId="1"/>
              <x14:cfIcon iconSet="3TrafficLights1" iconId="0"/>
            </x14:iconSet>
          </x14:cfRule>
          <xm:sqref>V48</xm:sqref>
        </x14:conditionalFormatting>
        <x14:conditionalFormatting xmlns:xm="http://schemas.microsoft.com/office/excel/2006/main">
          <x14:cfRule type="iconSet" priority="10" id="{8D7BFFA6-5D0D-4664-B303-6E23C1D289EF}">
            <x14:iconSet custom="1">
              <x14:cfvo type="percent">
                <xm:f>0</xm:f>
              </x14:cfvo>
              <x14:cfvo type="formula">
                <xm:f>$W$47</xm:f>
              </x14:cfvo>
              <x14:cfvo type="formula" gte="0">
                <xm:f>$W$47</xm:f>
              </x14:cfvo>
              <x14:cfIcon iconSet="3TrafficLights1" iconId="2"/>
              <x14:cfIcon iconSet="3TrafficLights1" iconId="1"/>
              <x14:cfIcon iconSet="3TrafficLights1" iconId="0"/>
            </x14:iconSet>
          </x14:cfRule>
          <xm:sqref>V47</xm:sqref>
        </x14:conditionalFormatting>
        <x14:conditionalFormatting xmlns:xm="http://schemas.microsoft.com/office/excel/2006/main">
          <x14:cfRule type="iconSet" priority="9" id="{2766050E-9116-41F8-94F3-D2769BD364AA}">
            <x14:iconSet custom="1">
              <x14:cfvo type="percent">
                <xm:f>0</xm:f>
              </x14:cfvo>
              <x14:cfvo type="formula">
                <xm:f>$W$46</xm:f>
              </x14:cfvo>
              <x14:cfvo type="formula" gte="0">
                <xm:f>$W$46</xm:f>
              </x14:cfvo>
              <x14:cfIcon iconSet="3TrafficLights1" iconId="2"/>
              <x14:cfIcon iconSet="3TrafficLights1" iconId="1"/>
              <x14:cfIcon iconSet="3TrafficLights1" iconId="0"/>
            </x14:iconSet>
          </x14:cfRule>
          <xm:sqref>V46</xm:sqref>
        </x14:conditionalFormatting>
        <x14:conditionalFormatting xmlns:xm="http://schemas.microsoft.com/office/excel/2006/main">
          <x14:cfRule type="iconSet" priority="8" id="{382DA369-713E-45DE-8C95-6BB9CB43E9E3}">
            <x14:iconSet custom="1">
              <x14:cfvo type="percent">
                <xm:f>0</xm:f>
              </x14:cfvo>
              <x14:cfvo type="formula">
                <xm:f>$W$45</xm:f>
              </x14:cfvo>
              <x14:cfvo type="formula" gte="0">
                <xm:f>$W$45</xm:f>
              </x14:cfvo>
              <x14:cfIcon iconSet="3TrafficLights1" iconId="2"/>
              <x14:cfIcon iconSet="3TrafficLights1" iconId="1"/>
              <x14:cfIcon iconSet="3TrafficLights1" iconId="0"/>
            </x14:iconSet>
          </x14:cfRule>
          <xm:sqref>V45</xm:sqref>
        </x14:conditionalFormatting>
        <x14:conditionalFormatting xmlns:xm="http://schemas.microsoft.com/office/excel/2006/main">
          <x14:cfRule type="iconSet" priority="7" id="{205AEED6-8FA8-4ABB-AEB2-A176FA301817}">
            <x14:iconSet custom="1">
              <x14:cfvo type="percent">
                <xm:f>0</xm:f>
              </x14:cfvo>
              <x14:cfvo type="formula">
                <xm:f>$W$39</xm:f>
              </x14:cfvo>
              <x14:cfvo type="formula" gte="0">
                <xm:f>$W$39</xm:f>
              </x14:cfvo>
              <x14:cfIcon iconSet="3TrafficLights1" iconId="2"/>
              <x14:cfIcon iconSet="3TrafficLights1" iconId="1"/>
              <x14:cfIcon iconSet="3TrafficLights1" iconId="0"/>
            </x14:iconSet>
          </x14:cfRule>
          <xm:sqref>V39</xm:sqref>
        </x14:conditionalFormatting>
        <x14:conditionalFormatting xmlns:xm="http://schemas.microsoft.com/office/excel/2006/main">
          <x14:cfRule type="iconSet" priority="6" id="{78AED416-8262-4CA2-AD84-5DEFC6142AD2}">
            <x14:iconSet custom="1">
              <x14:cfvo type="percent">
                <xm:f>0</xm:f>
              </x14:cfvo>
              <x14:cfvo type="formula">
                <xm:f>$W$40</xm:f>
              </x14:cfvo>
              <x14:cfvo type="formula" gte="0">
                <xm:f>$W$40</xm:f>
              </x14:cfvo>
              <x14:cfIcon iconSet="3TrafficLights1" iconId="2"/>
              <x14:cfIcon iconSet="3TrafficLights1" iconId="1"/>
              <x14:cfIcon iconSet="3TrafficLights1" iconId="0"/>
            </x14:iconSet>
          </x14:cfRule>
          <xm:sqref>V40</xm:sqref>
        </x14:conditionalFormatting>
        <x14:conditionalFormatting xmlns:xm="http://schemas.microsoft.com/office/excel/2006/main">
          <x14:cfRule type="iconSet" priority="5" id="{B3A3E663-B372-4B15-8CFA-7255D1FC9F96}">
            <x14:iconSet custom="1">
              <x14:cfvo type="percent">
                <xm:f>0</xm:f>
              </x14:cfvo>
              <x14:cfvo type="formula">
                <xm:f>$W$41</xm:f>
              </x14:cfvo>
              <x14:cfvo type="formula" gte="0">
                <xm:f>$W$41</xm:f>
              </x14:cfvo>
              <x14:cfIcon iconSet="3TrafficLights1" iconId="2"/>
              <x14:cfIcon iconSet="3TrafficLights1" iconId="1"/>
              <x14:cfIcon iconSet="3TrafficLights1" iconId="0"/>
            </x14:iconSet>
          </x14:cfRule>
          <xm:sqref>V41</xm:sqref>
        </x14:conditionalFormatting>
        <x14:conditionalFormatting xmlns:xm="http://schemas.microsoft.com/office/excel/2006/main">
          <x14:cfRule type="iconSet" priority="4" id="{80629976-37AD-41F9-BA59-FC7F5233FF6C}">
            <x14:iconSet custom="1">
              <x14:cfvo type="percent">
                <xm:f>0</xm:f>
              </x14:cfvo>
              <x14:cfvo type="formula">
                <xm:f>$W$42</xm:f>
              </x14:cfvo>
              <x14:cfvo type="formula" gte="0">
                <xm:f>$W$42</xm:f>
              </x14:cfvo>
              <x14:cfIcon iconSet="3TrafficLights1" iconId="2"/>
              <x14:cfIcon iconSet="3TrafficLights1" iconId="1"/>
              <x14:cfIcon iconSet="3TrafficLights1" iconId="0"/>
            </x14:iconSet>
          </x14:cfRule>
          <xm:sqref>V42</xm:sqref>
        </x14:conditionalFormatting>
        <x14:conditionalFormatting xmlns:xm="http://schemas.microsoft.com/office/excel/2006/main">
          <x14:cfRule type="iconSet" priority="3" id="{6BA81217-1C10-41C6-AFCE-315F46D02B31}">
            <x14:iconSet custom="1">
              <x14:cfvo type="percent">
                <xm:f>0</xm:f>
              </x14:cfvo>
              <x14:cfvo type="formula">
                <xm:f>$W$44</xm:f>
              </x14:cfvo>
              <x14:cfvo type="formula" gte="0">
                <xm:f>$W$44</xm:f>
              </x14:cfvo>
              <x14:cfIcon iconSet="3TrafficLights1" iconId="2"/>
              <x14:cfIcon iconSet="3TrafficLights1" iconId="1"/>
              <x14:cfIcon iconSet="3TrafficLights1" iconId="0"/>
            </x14:iconSet>
          </x14:cfRule>
          <xm:sqref>V44</xm:sqref>
        </x14:conditionalFormatting>
        <x14:conditionalFormatting xmlns:xm="http://schemas.microsoft.com/office/excel/2006/main">
          <x14:cfRule type="iconSet" priority="2" id="{FAF159BD-8DDE-457B-882F-2A49EBE60D84}">
            <x14:iconSet custom="1">
              <x14:cfvo type="percent">
                <xm:f>0</xm:f>
              </x14:cfvo>
              <x14:cfvo type="formula">
                <xm:f>$W$43</xm:f>
              </x14:cfvo>
              <x14:cfvo type="formula" gte="0">
                <xm:f>$W$43</xm:f>
              </x14:cfvo>
              <x14:cfIcon iconSet="3TrafficLights1" iconId="2"/>
              <x14:cfIcon iconSet="3TrafficLights1" iconId="1"/>
              <x14:cfIcon iconSet="3TrafficLights1" iconId="0"/>
            </x14:iconSet>
          </x14:cfRule>
          <xm:sqref>V43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CQ73"/>
  <sheetViews>
    <sheetView zoomScaleNormal="100" workbookViewId="0">
      <pane xSplit="2" topLeftCell="C1" activePane="topRight" state="frozen"/>
      <selection activeCell="A37" sqref="A37"/>
      <selection pane="topRight" activeCell="AC1" sqref="AC1:AC1048576"/>
    </sheetView>
  </sheetViews>
  <sheetFormatPr defaultColWidth="8.7109375" defaultRowHeight="15" x14ac:dyDescent="0.25"/>
  <cols>
    <col min="1" max="1" width="8.5703125" style="160" customWidth="1"/>
    <col min="2" max="2" width="41.7109375" style="160" bestFit="1" customWidth="1"/>
    <col min="3" max="3" width="15" style="437" customWidth="1"/>
    <col min="4" max="4" width="15" style="15" customWidth="1"/>
    <col min="5" max="5" width="15" style="15" hidden="1" customWidth="1"/>
    <col min="6" max="6" width="15" style="14" hidden="1" customWidth="1"/>
    <col min="7" max="7" width="15" style="437" customWidth="1"/>
    <col min="8" max="8" width="15" style="437" hidden="1" customWidth="1"/>
    <col min="9" max="9" width="15" style="14" hidden="1" customWidth="1"/>
    <col min="10" max="10" width="16.5703125" style="437" customWidth="1"/>
    <col min="11" max="11" width="15" style="437" hidden="1" customWidth="1"/>
    <col min="12" max="12" width="15" style="14" hidden="1" customWidth="1"/>
    <col min="13" max="13" width="13.140625" style="45" customWidth="1"/>
    <col min="14" max="14" width="13.140625" style="45" hidden="1" customWidth="1"/>
    <col min="15" max="15" width="13.140625" style="45" customWidth="1"/>
    <col min="16" max="16" width="13.140625" style="45" hidden="1" customWidth="1"/>
    <col min="17" max="17" width="13.140625" style="45" customWidth="1"/>
    <col min="18" max="18" width="13.140625" style="45" hidden="1" customWidth="1"/>
    <col min="19" max="19" width="13.140625" style="66" hidden="1" customWidth="1"/>
    <col min="20" max="20" width="10.42578125" style="45" customWidth="1"/>
    <col min="21" max="21" width="13.140625" style="45" hidden="1" customWidth="1"/>
    <col min="22" max="22" width="13.140625" style="45" customWidth="1"/>
    <col min="23" max="23" width="13.140625" style="45" hidden="1" customWidth="1"/>
    <col min="24" max="24" width="13.140625" style="66" hidden="1" customWidth="1"/>
    <col min="25" max="25" width="13.140625" style="66" customWidth="1"/>
    <col min="26" max="26" width="11.85546875" style="66" customWidth="1"/>
    <col min="27" max="27" width="11.85546875" style="66" hidden="1" customWidth="1"/>
    <col min="28" max="28" width="13.140625" style="7" customWidth="1"/>
    <col min="29" max="29" width="13.140625" style="7" hidden="1" customWidth="1"/>
    <col min="30" max="30" width="13.140625" style="45" customWidth="1"/>
    <col min="31" max="31" width="18.140625" style="45" customWidth="1"/>
    <col min="32" max="32" width="13.140625" style="45" hidden="1" customWidth="1"/>
    <col min="33" max="33" width="13.140625" style="45" customWidth="1"/>
    <col min="34" max="34" width="13.140625" style="45" hidden="1" customWidth="1"/>
    <col min="35" max="35" width="13.140625" style="45" customWidth="1"/>
    <col min="36" max="36" width="13.140625" style="45" hidden="1" customWidth="1"/>
    <col min="37" max="37" width="13.140625" style="45" customWidth="1"/>
    <col min="38" max="38" width="13.140625" style="45" hidden="1" customWidth="1"/>
    <col min="39" max="39" width="20.42578125" style="45" customWidth="1"/>
    <col min="40" max="40" width="13.140625" style="45" customWidth="1"/>
    <col min="41" max="42" width="13.140625" style="66" hidden="1" customWidth="1"/>
    <col min="43" max="43" width="13.140625" style="45" customWidth="1"/>
    <col min="44" max="45" width="13.140625" style="66" hidden="1" customWidth="1"/>
    <col min="46" max="46" width="13.140625" style="45" customWidth="1"/>
    <col min="47" max="48" width="13.140625" style="66" hidden="1" customWidth="1"/>
    <col min="49" max="49" width="13.140625" style="45" customWidth="1"/>
    <col min="50" max="51" width="13.140625" style="66" hidden="1" customWidth="1"/>
    <col min="52" max="52" width="13.140625" style="45" customWidth="1"/>
    <col min="53" max="54" width="13.140625" style="66" hidden="1" customWidth="1"/>
    <col min="55" max="55" width="13.140625" style="45" customWidth="1"/>
    <col min="56" max="57" width="13.140625" style="66" hidden="1" customWidth="1"/>
    <col min="58" max="58" width="13.140625" style="45" customWidth="1"/>
    <col min="59" max="60" width="13.140625" style="66" hidden="1" customWidth="1"/>
    <col min="61" max="61" width="18.140625" style="45" bestFit="1" customWidth="1"/>
    <col min="62" max="63" width="18.140625" style="66" hidden="1" customWidth="1"/>
    <col min="64" max="64" width="8.7109375" style="5"/>
    <col min="65" max="65" width="8.7109375" style="5" hidden="1" customWidth="1"/>
    <col min="66" max="66" width="9.140625" style="7" customWidth="1"/>
    <col min="67" max="67" width="8.7109375" style="160" bestFit="1" customWidth="1"/>
    <col min="68" max="69" width="8.7109375" style="160"/>
    <col min="70" max="70" width="2.7109375" style="160" customWidth="1"/>
    <col min="71" max="71" width="11.7109375" style="144" customWidth="1"/>
    <col min="72" max="72" width="8.7109375" style="144" hidden="1" customWidth="1"/>
    <col min="73" max="73" width="10.85546875" style="144" customWidth="1"/>
    <col min="74" max="74" width="8.7109375" style="144" hidden="1" customWidth="1"/>
    <col min="75" max="75" width="10.85546875" style="144" customWidth="1"/>
    <col min="76" max="76" width="8.7109375" style="144" hidden="1" customWidth="1"/>
    <col min="77" max="77" width="9.85546875" style="144" customWidth="1"/>
    <col min="78" max="78" width="9" style="144" hidden="1" customWidth="1"/>
    <col min="79" max="79" width="8.7109375" style="144" customWidth="1"/>
    <col min="80" max="80" width="8.7109375" style="144" hidden="1" customWidth="1"/>
    <col min="81" max="81" width="8.7109375" style="144" customWidth="1"/>
    <col min="82" max="82" width="11.7109375" style="144" hidden="1" customWidth="1"/>
    <col min="83" max="83" width="8.7109375" style="144" customWidth="1"/>
    <col min="84" max="84" width="8.7109375" style="144" hidden="1" customWidth="1"/>
    <col min="85" max="85" width="9.7109375" style="144" customWidth="1"/>
    <col min="86" max="86" width="8.7109375" style="144" hidden="1" customWidth="1"/>
    <col min="87" max="87" width="8.7109375" style="144" customWidth="1"/>
    <col min="88" max="88" width="9.42578125" style="144" hidden="1" customWidth="1"/>
    <col min="89" max="89" width="2.85546875" style="160" customWidth="1"/>
    <col min="90" max="90" width="9.5703125" style="118" customWidth="1"/>
    <col min="91" max="91" width="9.7109375" style="118" hidden="1" customWidth="1"/>
    <col min="92" max="92" width="7.42578125" style="118" customWidth="1"/>
    <col min="93" max="93" width="7.42578125" style="118" hidden="1" customWidth="1"/>
    <col min="94" max="94" width="5.5703125" style="118" customWidth="1"/>
    <col min="95" max="95" width="5.5703125" style="118" hidden="1" customWidth="1"/>
    <col min="96" max="16384" width="8.7109375" style="160"/>
  </cols>
  <sheetData>
    <row r="1" spans="1:95" ht="15.75" thickBot="1" x14ac:dyDescent="0.3">
      <c r="B1" s="18"/>
      <c r="C1" s="19"/>
      <c r="D1" s="20"/>
      <c r="E1" s="20"/>
      <c r="F1" s="19"/>
      <c r="G1" s="19"/>
      <c r="H1" s="19"/>
      <c r="I1" s="19"/>
      <c r="J1" s="19"/>
      <c r="K1" s="19"/>
      <c r="L1" s="19"/>
      <c r="M1" s="37"/>
      <c r="N1" s="37"/>
      <c r="O1" s="37"/>
      <c r="P1" s="37"/>
      <c r="Q1" s="37"/>
      <c r="R1" s="37"/>
      <c r="S1" s="21"/>
      <c r="T1" s="37"/>
      <c r="U1" s="37"/>
      <c r="V1" s="37"/>
      <c r="W1" s="37"/>
      <c r="X1" s="21"/>
      <c r="Y1" s="21"/>
      <c r="Z1" s="21"/>
      <c r="AA1" s="21"/>
      <c r="AB1" s="37"/>
      <c r="AC1" s="21"/>
      <c r="AD1" s="37"/>
      <c r="AE1" s="37"/>
      <c r="AF1" s="37"/>
      <c r="AG1" s="37"/>
      <c r="AH1" s="37"/>
      <c r="AI1" s="37"/>
      <c r="AJ1" s="37"/>
      <c r="AK1" s="37"/>
      <c r="AL1" s="37"/>
      <c r="AM1" s="37"/>
      <c r="AN1" s="37"/>
      <c r="AO1" s="21"/>
      <c r="AP1" s="21"/>
      <c r="AQ1" s="37"/>
      <c r="AR1" s="21"/>
      <c r="AS1" s="21"/>
      <c r="AT1" s="37"/>
      <c r="AU1" s="21"/>
      <c r="AV1" s="21"/>
      <c r="AW1" s="37"/>
      <c r="AX1" s="21"/>
      <c r="AY1" s="21"/>
      <c r="AZ1" s="37"/>
      <c r="BA1" s="21"/>
      <c r="BB1" s="21"/>
      <c r="BC1" s="37"/>
      <c r="BD1" s="21"/>
      <c r="BE1" s="21"/>
      <c r="BF1" s="37"/>
      <c r="BG1" s="21"/>
      <c r="BH1" s="21"/>
      <c r="BI1" s="37"/>
      <c r="BJ1" s="21"/>
      <c r="BK1" s="21"/>
      <c r="BM1" s="160"/>
      <c r="BN1" s="21"/>
      <c r="BS1" s="160"/>
      <c r="BT1" s="160"/>
      <c r="BU1" s="160"/>
      <c r="BV1" s="160"/>
      <c r="BW1" s="160"/>
      <c r="BX1" s="160"/>
      <c r="BY1" s="160"/>
      <c r="BZ1" s="160"/>
      <c r="CA1" s="160"/>
      <c r="CB1" s="160"/>
      <c r="CC1" s="160"/>
      <c r="CD1" s="160"/>
      <c r="CE1" s="160"/>
      <c r="CF1" s="160"/>
      <c r="CG1" s="160"/>
      <c r="CH1" s="160"/>
      <c r="CI1" s="160"/>
      <c r="CJ1" s="160"/>
    </row>
    <row r="2" spans="1:95" ht="15.75" thickBot="1" x14ac:dyDescent="0.3">
      <c r="B2" s="18"/>
      <c r="C2" s="19"/>
      <c r="D2" s="641" t="s">
        <v>306</v>
      </c>
      <c r="E2" s="642"/>
      <c r="F2" s="642"/>
      <c r="G2" s="642"/>
      <c r="H2" s="642"/>
      <c r="I2" s="642"/>
      <c r="J2" s="642"/>
      <c r="K2" s="642"/>
      <c r="L2" s="642"/>
      <c r="M2" s="642"/>
      <c r="N2" s="642"/>
      <c r="O2" s="642"/>
      <c r="P2" s="642"/>
      <c r="Q2" s="642"/>
      <c r="R2" s="642"/>
      <c r="S2" s="642"/>
      <c r="T2" s="642"/>
      <c r="U2" s="642"/>
      <c r="V2" s="642"/>
      <c r="W2" s="642"/>
      <c r="X2" s="642"/>
      <c r="Y2" s="642"/>
      <c r="Z2" s="642"/>
      <c r="AA2" s="643"/>
      <c r="AB2" s="644" t="s">
        <v>310</v>
      </c>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6"/>
      <c r="BM2" s="303"/>
      <c r="BN2" s="21"/>
      <c r="BS2" s="160"/>
      <c r="BT2" s="160"/>
      <c r="BU2" s="160"/>
      <c r="BV2" s="160"/>
      <c r="BW2" s="160"/>
      <c r="BX2" s="160"/>
      <c r="BY2" s="160"/>
      <c r="BZ2" s="160"/>
      <c r="CA2" s="160"/>
      <c r="CB2" s="160"/>
      <c r="CC2" s="160"/>
      <c r="CD2" s="160"/>
      <c r="CE2" s="160"/>
      <c r="CF2" s="160"/>
      <c r="CG2" s="160"/>
      <c r="CH2" s="160"/>
      <c r="CI2" s="160"/>
      <c r="CJ2" s="160"/>
    </row>
    <row r="3" spans="1:95" ht="14.25" customHeight="1" thickBot="1" x14ac:dyDescent="0.3">
      <c r="B3" s="18"/>
      <c r="C3" s="19"/>
      <c r="D3" s="236"/>
      <c r="E3" s="237"/>
      <c r="F3" s="239"/>
      <c r="G3" s="239"/>
      <c r="H3" s="239"/>
      <c r="I3" s="239"/>
      <c r="J3" s="239"/>
      <c r="K3" s="239"/>
      <c r="L3" s="239"/>
      <c r="M3" s="647" t="s">
        <v>181</v>
      </c>
      <c r="N3" s="648"/>
      <c r="O3" s="648"/>
      <c r="P3" s="648"/>
      <c r="Q3" s="648"/>
      <c r="R3" s="648"/>
      <c r="S3" s="648"/>
      <c r="T3" s="649"/>
      <c r="U3" s="548"/>
      <c r="V3" s="635" t="s">
        <v>183</v>
      </c>
      <c r="W3" s="636"/>
      <c r="X3" s="636"/>
      <c r="Y3" s="637"/>
      <c r="Z3" s="211"/>
      <c r="AA3" s="297"/>
      <c r="AB3" s="638" t="s">
        <v>308</v>
      </c>
      <c r="AC3" s="639"/>
      <c r="AD3" s="640"/>
      <c r="AE3" s="629" t="s">
        <v>353</v>
      </c>
      <c r="AF3" s="630"/>
      <c r="AG3" s="630"/>
      <c r="AH3" s="630"/>
      <c r="AI3" s="630"/>
      <c r="AJ3" s="630"/>
      <c r="AK3" s="630"/>
      <c r="AL3" s="631"/>
      <c r="AM3" s="384" t="s">
        <v>362</v>
      </c>
      <c r="AN3" s="635" t="s">
        <v>188</v>
      </c>
      <c r="AO3" s="636"/>
      <c r="AP3" s="636"/>
      <c r="AQ3" s="636"/>
      <c r="AR3" s="636"/>
      <c r="AS3" s="636"/>
      <c r="AT3" s="636"/>
      <c r="AU3" s="636"/>
      <c r="AV3" s="636"/>
      <c r="AW3" s="636"/>
      <c r="AX3" s="636"/>
      <c r="AY3" s="636"/>
      <c r="AZ3" s="636"/>
      <c r="BA3" s="636"/>
      <c r="BB3" s="636"/>
      <c r="BC3" s="636"/>
      <c r="BD3" s="636"/>
      <c r="BE3" s="636"/>
      <c r="BF3" s="636"/>
      <c r="BG3" s="636"/>
      <c r="BH3" s="636"/>
      <c r="BI3" s="636"/>
      <c r="BJ3" s="636"/>
      <c r="BK3" s="636"/>
      <c r="BL3" s="637"/>
      <c r="BM3" s="100"/>
      <c r="BN3" s="90"/>
      <c r="BO3" s="635" t="s">
        <v>219</v>
      </c>
      <c r="BP3" s="636"/>
      <c r="BQ3" s="637"/>
      <c r="BR3" s="100"/>
      <c r="BS3" s="626" t="s">
        <v>428</v>
      </c>
      <c r="BT3" s="627"/>
      <c r="BU3" s="627"/>
      <c r="BV3" s="627"/>
      <c r="BW3" s="627"/>
      <c r="BX3" s="627"/>
      <c r="BY3" s="627"/>
      <c r="BZ3" s="627"/>
      <c r="CA3" s="627"/>
      <c r="CB3" s="627"/>
      <c r="CC3" s="627"/>
      <c r="CD3" s="627"/>
      <c r="CE3" s="627"/>
      <c r="CF3" s="627"/>
      <c r="CG3" s="627"/>
      <c r="CH3" s="627"/>
      <c r="CI3" s="628"/>
      <c r="CJ3" s="449"/>
    </row>
    <row r="4" spans="1:95" ht="7.5" hidden="1" customHeight="1" thickBot="1" x14ac:dyDescent="0.3">
      <c r="D4" s="240"/>
      <c r="E4" s="241"/>
      <c r="F4" s="97"/>
      <c r="G4" s="97"/>
      <c r="H4" s="97"/>
      <c r="I4" s="97"/>
      <c r="J4" s="97"/>
      <c r="K4" s="97"/>
      <c r="L4" s="97"/>
      <c r="M4" s="46"/>
      <c r="N4" s="47"/>
      <c r="O4" s="47"/>
      <c r="P4" s="47"/>
      <c r="Q4" s="47"/>
      <c r="R4" s="47"/>
      <c r="S4" s="304"/>
      <c r="T4" s="48"/>
      <c r="U4" s="48"/>
      <c r="V4" s="49"/>
      <c r="W4" s="49"/>
      <c r="X4" s="183"/>
      <c r="Y4" s="12"/>
      <c r="Z4" s="183"/>
      <c r="AA4" s="12"/>
      <c r="AB4" s="12"/>
      <c r="AC4" s="12"/>
      <c r="AD4" s="46"/>
      <c r="AE4" s="46"/>
      <c r="AF4" s="46"/>
      <c r="AG4" s="46"/>
      <c r="AH4" s="46"/>
      <c r="AI4" s="46"/>
      <c r="AJ4" s="46"/>
      <c r="AK4" s="46"/>
      <c r="AL4" s="49"/>
      <c r="AM4" s="49"/>
      <c r="AN4" s="364"/>
      <c r="AO4" s="305"/>
      <c r="AP4" s="305"/>
      <c r="AQ4" s="39"/>
      <c r="AR4" s="306"/>
      <c r="AS4" s="306"/>
      <c r="AT4" s="39"/>
      <c r="AU4" s="306"/>
      <c r="AV4" s="306"/>
      <c r="AW4" s="39"/>
      <c r="AX4" s="306"/>
      <c r="AY4" s="306"/>
      <c r="AZ4" s="39"/>
      <c r="BA4" s="306"/>
      <c r="BB4" s="306"/>
      <c r="BC4" s="39"/>
      <c r="BD4" s="306"/>
      <c r="BE4" s="306"/>
      <c r="BF4" s="39"/>
      <c r="BG4" s="307"/>
      <c r="BH4" s="307"/>
      <c r="BI4" s="40"/>
      <c r="BJ4" s="304"/>
      <c r="BK4" s="304"/>
      <c r="BL4" s="451"/>
      <c r="BM4" s="99"/>
      <c r="BN4" s="13"/>
      <c r="BO4" s="184"/>
      <c r="BP4" s="148"/>
      <c r="BQ4" s="287"/>
      <c r="BR4" s="97"/>
      <c r="BS4" s="103"/>
      <c r="BT4" s="99"/>
      <c r="BU4" s="99"/>
      <c r="BV4" s="99"/>
      <c r="BW4" s="99"/>
      <c r="BX4" s="99"/>
      <c r="BY4" s="99"/>
      <c r="BZ4" s="99"/>
      <c r="CA4" s="99"/>
      <c r="CB4" s="99"/>
      <c r="CC4" s="99"/>
      <c r="CD4" s="99"/>
      <c r="CE4" s="99"/>
      <c r="CF4" s="99"/>
      <c r="CG4" s="99"/>
      <c r="CH4" s="99"/>
      <c r="CI4" s="104"/>
      <c r="CJ4" s="99"/>
    </row>
    <row r="5" spans="1:95" s="11" customFormat="1" ht="65.45" customHeight="1" thickBot="1" x14ac:dyDescent="0.25">
      <c r="B5" s="256" t="s">
        <v>216</v>
      </c>
      <c r="C5" s="257" t="s">
        <v>186</v>
      </c>
      <c r="D5" s="198" t="s">
        <v>198</v>
      </c>
      <c r="E5" s="455" t="s">
        <v>447</v>
      </c>
      <c r="F5" s="196" t="s">
        <v>227</v>
      </c>
      <c r="G5" s="196" t="s">
        <v>199</v>
      </c>
      <c r="H5" s="456" t="s">
        <v>448</v>
      </c>
      <c r="I5" s="308" t="s">
        <v>228</v>
      </c>
      <c r="J5" s="197" t="s">
        <v>429</v>
      </c>
      <c r="K5" s="457" t="s">
        <v>449</v>
      </c>
      <c r="L5" s="316" t="s">
        <v>229</v>
      </c>
      <c r="M5" s="202" t="s">
        <v>177</v>
      </c>
      <c r="N5" s="458" t="s">
        <v>450</v>
      </c>
      <c r="O5" s="203" t="s">
        <v>178</v>
      </c>
      <c r="P5" s="459" t="s">
        <v>451</v>
      </c>
      <c r="Q5" s="199" t="s">
        <v>430</v>
      </c>
      <c r="R5" s="460" t="s">
        <v>452</v>
      </c>
      <c r="S5" s="317" t="s">
        <v>230</v>
      </c>
      <c r="T5" s="205" t="s">
        <v>71</v>
      </c>
      <c r="U5" s="461" t="s">
        <v>453</v>
      </c>
      <c r="V5" s="207" t="s">
        <v>431</v>
      </c>
      <c r="W5" s="462" t="s">
        <v>454</v>
      </c>
      <c r="X5" s="318" t="s">
        <v>231</v>
      </c>
      <c r="Y5" s="200" t="s">
        <v>303</v>
      </c>
      <c r="Z5" s="243" t="s">
        <v>305</v>
      </c>
      <c r="AA5" s="448" t="s">
        <v>455</v>
      </c>
      <c r="AB5" s="223" t="s">
        <v>375</v>
      </c>
      <c r="AC5" s="463" t="s">
        <v>456</v>
      </c>
      <c r="AD5" s="209" t="s">
        <v>307</v>
      </c>
      <c r="AE5" s="353" t="s">
        <v>344</v>
      </c>
      <c r="AF5" s="353" t="s">
        <v>354</v>
      </c>
      <c r="AG5" s="353" t="s">
        <v>358</v>
      </c>
      <c r="AH5" s="353" t="s">
        <v>355</v>
      </c>
      <c r="AI5" s="353" t="s">
        <v>346</v>
      </c>
      <c r="AJ5" s="353" t="s">
        <v>356</v>
      </c>
      <c r="AK5" s="354" t="s">
        <v>347</v>
      </c>
      <c r="AL5" s="354" t="s">
        <v>357</v>
      </c>
      <c r="AM5" s="385" t="s">
        <v>374</v>
      </c>
      <c r="AN5" s="383" t="s">
        <v>486</v>
      </c>
      <c r="AO5" s="212" t="s">
        <v>232</v>
      </c>
      <c r="AP5" s="464" t="s">
        <v>457</v>
      </c>
      <c r="AQ5" s="152" t="s">
        <v>487</v>
      </c>
      <c r="AR5" s="213" t="s">
        <v>233</v>
      </c>
      <c r="AS5" s="152" t="s">
        <v>488</v>
      </c>
      <c r="AT5" s="214" t="s">
        <v>432</v>
      </c>
      <c r="AU5" s="215" t="s">
        <v>234</v>
      </c>
      <c r="AV5" s="214" t="s">
        <v>489</v>
      </c>
      <c r="AW5" s="214" t="s">
        <v>433</v>
      </c>
      <c r="AX5" s="215" t="s">
        <v>235</v>
      </c>
      <c r="AY5" s="214" t="s">
        <v>490</v>
      </c>
      <c r="AZ5" s="214" t="s">
        <v>434</v>
      </c>
      <c r="BA5" s="215" t="s">
        <v>236</v>
      </c>
      <c r="BB5" s="214" t="s">
        <v>491</v>
      </c>
      <c r="BC5" s="214" t="s">
        <v>435</v>
      </c>
      <c r="BD5" s="215" t="s">
        <v>237</v>
      </c>
      <c r="BE5" s="214" t="s">
        <v>492</v>
      </c>
      <c r="BF5" s="214" t="s">
        <v>436</v>
      </c>
      <c r="BG5" s="216" t="s">
        <v>238</v>
      </c>
      <c r="BH5" s="214" t="s">
        <v>493</v>
      </c>
      <c r="BI5" s="217" t="s">
        <v>437</v>
      </c>
      <c r="BJ5" s="218" t="s">
        <v>239</v>
      </c>
      <c r="BK5" s="465" t="s">
        <v>458</v>
      </c>
      <c r="BL5" s="324" t="s">
        <v>309</v>
      </c>
      <c r="BM5" s="466" t="s">
        <v>327</v>
      </c>
      <c r="BN5" s="291" t="s">
        <v>226</v>
      </c>
      <c r="BO5" s="467" t="s">
        <v>423</v>
      </c>
      <c r="BP5" s="467" t="s">
        <v>328</v>
      </c>
      <c r="BQ5" s="467" t="s">
        <v>304</v>
      </c>
      <c r="BR5" s="101"/>
      <c r="BS5" s="105" t="s">
        <v>438</v>
      </c>
      <c r="BT5" s="105" t="s">
        <v>376</v>
      </c>
      <c r="BU5" s="106" t="s">
        <v>439</v>
      </c>
      <c r="BV5" s="106" t="s">
        <v>378</v>
      </c>
      <c r="BW5" s="106" t="s">
        <v>440</v>
      </c>
      <c r="BX5" s="106" t="s">
        <v>380</v>
      </c>
      <c r="BY5" s="106" t="s">
        <v>441</v>
      </c>
      <c r="BZ5" s="106" t="s">
        <v>386</v>
      </c>
      <c r="CA5" s="106" t="s">
        <v>442</v>
      </c>
      <c r="CB5" s="106" t="s">
        <v>388</v>
      </c>
      <c r="CC5" s="106" t="s">
        <v>443</v>
      </c>
      <c r="CD5" s="106" t="s">
        <v>387</v>
      </c>
      <c r="CE5" s="106" t="s">
        <v>444</v>
      </c>
      <c r="CF5" s="106" t="s">
        <v>390</v>
      </c>
      <c r="CG5" s="106" t="s">
        <v>445</v>
      </c>
      <c r="CH5" s="106" t="s">
        <v>391</v>
      </c>
      <c r="CI5" s="107" t="s">
        <v>446</v>
      </c>
      <c r="CJ5" s="219" t="s">
        <v>392</v>
      </c>
      <c r="CK5" s="146"/>
      <c r="CL5" s="107" t="s">
        <v>254</v>
      </c>
      <c r="CM5" s="393" t="s">
        <v>459</v>
      </c>
      <c r="CN5" s="105" t="s">
        <v>255</v>
      </c>
      <c r="CO5" s="468" t="s">
        <v>460</v>
      </c>
      <c r="CP5" s="108" t="s">
        <v>256</v>
      </c>
      <c r="CQ5" s="469" t="s">
        <v>461</v>
      </c>
    </row>
    <row r="6" spans="1:95" ht="15" customHeight="1" x14ac:dyDescent="0.25">
      <c r="A6" s="650" t="s">
        <v>294</v>
      </c>
      <c r="B6" s="32" t="s">
        <v>23</v>
      </c>
      <c r="C6" s="235">
        <v>266</v>
      </c>
      <c r="D6" s="244">
        <v>0.59825327510917026</v>
      </c>
      <c r="E6" s="24">
        <v>0.72177419354838712</v>
      </c>
      <c r="F6" s="23">
        <v>0</v>
      </c>
      <c r="G6" s="24">
        <v>0.94409937888198758</v>
      </c>
      <c r="H6" s="24">
        <v>0.85581395348837208</v>
      </c>
      <c r="I6" s="23">
        <v>1</v>
      </c>
      <c r="J6" s="59">
        <v>0.77117632699557892</v>
      </c>
      <c r="K6" s="91">
        <v>0.7887940735183796</v>
      </c>
      <c r="L6" s="23">
        <v>0</v>
      </c>
      <c r="M6" s="42">
        <v>1.8923563081231099E-2</v>
      </c>
      <c r="N6" s="60">
        <v>1.2248187386042201E-2</v>
      </c>
      <c r="O6" s="43">
        <v>6.7179777739903501E-3</v>
      </c>
      <c r="P6" s="43">
        <v>5.0006927407174303E-3</v>
      </c>
      <c r="Q6" s="43">
        <v>6.3185113481917299E-2</v>
      </c>
      <c r="R6" s="43">
        <v>9.0847465749872E-2</v>
      </c>
      <c r="S6" s="23">
        <v>0</v>
      </c>
      <c r="T6" s="44">
        <v>2.0032749335843199E-2</v>
      </c>
      <c r="U6" s="43">
        <v>3.4553290814076501E-2</v>
      </c>
      <c r="V6" s="42">
        <v>3.0172413793103401E-2</v>
      </c>
      <c r="W6" s="60">
        <v>2.7722772277227699E-2</v>
      </c>
      <c r="X6" s="23">
        <v>1</v>
      </c>
      <c r="Y6" s="190">
        <v>7</v>
      </c>
      <c r="Z6" s="309">
        <v>1</v>
      </c>
      <c r="AA6" s="310">
        <v>1</v>
      </c>
      <c r="AB6" s="190">
        <v>47</v>
      </c>
      <c r="AC6" s="25">
        <v>2</v>
      </c>
      <c r="AD6" s="43">
        <v>0.17669172932330826</v>
      </c>
      <c r="AE6" s="431">
        <v>5.7505910165484639</v>
      </c>
      <c r="AF6" s="409">
        <v>2.5</v>
      </c>
      <c r="AG6" s="112">
        <v>5.2836879432624118</v>
      </c>
      <c r="AH6" s="112">
        <v>2.5</v>
      </c>
      <c r="AI6" s="112">
        <v>5.6028368794326244</v>
      </c>
      <c r="AJ6" s="112">
        <v>0.83333333333333337</v>
      </c>
      <c r="AK6" s="112">
        <v>6.3652482269503547</v>
      </c>
      <c r="AL6" s="271">
        <v>4.166666666666667</v>
      </c>
      <c r="AM6" s="386">
        <v>0.81707317073170727</v>
      </c>
      <c r="AN6" s="60">
        <v>0.44680851063829785</v>
      </c>
      <c r="AO6" s="23">
        <v>0</v>
      </c>
      <c r="AP6" s="43" t="s">
        <v>223</v>
      </c>
      <c r="AQ6" s="43">
        <v>0.44680851063829791</v>
      </c>
      <c r="AR6" s="23">
        <v>0</v>
      </c>
      <c r="AS6" s="24" t="s">
        <v>223</v>
      </c>
      <c r="AT6" s="43">
        <v>0.42553191489361702</v>
      </c>
      <c r="AU6" s="23">
        <v>0</v>
      </c>
      <c r="AV6" s="24" t="s">
        <v>223</v>
      </c>
      <c r="AW6" s="43">
        <v>0.40425531914893614</v>
      </c>
      <c r="AX6" s="23">
        <v>0</v>
      </c>
      <c r="AY6" s="24" t="s">
        <v>223</v>
      </c>
      <c r="AZ6" s="43">
        <v>0.46808510638297873</v>
      </c>
      <c r="BA6" s="23">
        <v>0</v>
      </c>
      <c r="BB6" s="24" t="s">
        <v>223</v>
      </c>
      <c r="BC6" s="43">
        <v>0.42553191489361697</v>
      </c>
      <c r="BD6" s="23">
        <v>0</v>
      </c>
      <c r="BE6" s="24" t="s">
        <v>223</v>
      </c>
      <c r="BF6" s="43">
        <v>0.57446808510638303</v>
      </c>
      <c r="BG6" s="23">
        <v>0</v>
      </c>
      <c r="BH6" s="91" t="s">
        <v>223</v>
      </c>
      <c r="BI6" s="44">
        <v>0.42553191489361702</v>
      </c>
      <c r="BJ6" s="23">
        <v>0</v>
      </c>
      <c r="BK6" s="145" t="s">
        <v>223</v>
      </c>
      <c r="BL6" s="470">
        <v>0</v>
      </c>
      <c r="BM6" s="523">
        <v>0</v>
      </c>
      <c r="BN6" s="285">
        <v>1</v>
      </c>
      <c r="BO6" s="190">
        <v>1</v>
      </c>
      <c r="BP6" s="25">
        <v>2</v>
      </c>
      <c r="BQ6" s="288">
        <v>2</v>
      </c>
      <c r="BR6" s="99"/>
      <c r="BS6" s="109">
        <v>6.6</v>
      </c>
      <c r="BT6" s="109" t="s">
        <v>389</v>
      </c>
      <c r="BU6" s="110">
        <v>5.2</v>
      </c>
      <c r="BV6" s="110" t="s">
        <v>389</v>
      </c>
      <c r="BW6" s="110">
        <v>6.1</v>
      </c>
      <c r="BX6" s="110" t="s">
        <v>389</v>
      </c>
      <c r="BY6" s="110">
        <v>4.9000000000000004</v>
      </c>
      <c r="BZ6" s="110" t="s">
        <v>389</v>
      </c>
      <c r="CA6" s="110">
        <v>5.0999999999999996</v>
      </c>
      <c r="CB6" s="110" t="s">
        <v>389</v>
      </c>
      <c r="CC6" s="110">
        <v>5.5</v>
      </c>
      <c r="CD6" s="110" t="s">
        <v>389</v>
      </c>
      <c r="CE6" s="110">
        <v>6</v>
      </c>
      <c r="CF6" s="110" t="s">
        <v>389</v>
      </c>
      <c r="CG6" s="110">
        <v>6.2</v>
      </c>
      <c r="CH6" s="110">
        <v>7</v>
      </c>
      <c r="CI6" s="487">
        <v>5.0999999999999996</v>
      </c>
      <c r="CJ6" s="409">
        <v>6</v>
      </c>
      <c r="CL6" s="266">
        <v>32</v>
      </c>
      <c r="CM6" s="119">
        <v>22</v>
      </c>
      <c r="CN6" s="120"/>
      <c r="CO6" s="121"/>
      <c r="CP6" s="122"/>
      <c r="CQ6" s="122"/>
    </row>
    <row r="7" spans="1:95" x14ac:dyDescent="0.25">
      <c r="A7" s="651"/>
      <c r="B7" s="33" t="s">
        <v>24</v>
      </c>
      <c r="C7" s="235">
        <v>221</v>
      </c>
      <c r="D7" s="246">
        <v>0.52577319587628868</v>
      </c>
      <c r="E7" s="24">
        <v>0.78534031413612571</v>
      </c>
      <c r="F7" s="23">
        <v>0</v>
      </c>
      <c r="G7" s="17">
        <v>0.70344827586206893</v>
      </c>
      <c r="H7" s="24">
        <v>0.74137931034482762</v>
      </c>
      <c r="I7" s="23">
        <v>0</v>
      </c>
      <c r="J7" s="59">
        <v>0.6146107358691788</v>
      </c>
      <c r="K7" s="91">
        <v>0.76335981224047667</v>
      </c>
      <c r="L7" s="23">
        <v>0</v>
      </c>
      <c r="M7" s="51">
        <v>2.7934990067967898E-2</v>
      </c>
      <c r="N7" s="60">
        <v>2.24626366746817E-2</v>
      </c>
      <c r="O7" s="52">
        <v>2.43959184786606E-3</v>
      </c>
      <c r="P7" s="43">
        <v>8.22971872070467E-3</v>
      </c>
      <c r="Q7" s="52">
        <v>7.5047084301336803E-2</v>
      </c>
      <c r="R7" s="43">
        <v>9.8907442949281499E-2</v>
      </c>
      <c r="S7" s="23">
        <v>0</v>
      </c>
      <c r="T7" s="44">
        <v>3.3881221941541501E-2</v>
      </c>
      <c r="U7" s="52">
        <v>4.4715733202161996E-2</v>
      </c>
      <c r="V7" s="42">
        <v>4.2105263157894701E-2</v>
      </c>
      <c r="W7" s="60">
        <v>3.1914893617021302E-2</v>
      </c>
      <c r="X7" s="23">
        <v>1</v>
      </c>
      <c r="Y7" s="190">
        <v>8</v>
      </c>
      <c r="Z7" s="311">
        <v>1</v>
      </c>
      <c r="AA7" s="312">
        <v>1</v>
      </c>
      <c r="AB7" s="188">
        <v>21</v>
      </c>
      <c r="AC7" s="187">
        <v>3</v>
      </c>
      <c r="AD7" s="52">
        <v>9.5022624434389136E-2</v>
      </c>
      <c r="AE7" s="408">
        <v>6.1904761904761916</v>
      </c>
      <c r="AF7" s="409">
        <v>5.7407407407407405</v>
      </c>
      <c r="AG7" s="112">
        <v>5.912698412698413</v>
      </c>
      <c r="AH7" s="112">
        <v>6.666666666666667</v>
      </c>
      <c r="AI7" s="112">
        <v>5.753968253968254</v>
      </c>
      <c r="AJ7" s="112">
        <v>5</v>
      </c>
      <c r="AK7" s="112">
        <v>6.9047619047619051</v>
      </c>
      <c r="AL7" s="271">
        <v>5.5555555555555554</v>
      </c>
      <c r="AM7" s="386">
        <v>0.9821428571428571</v>
      </c>
      <c r="AN7" s="60">
        <v>0.42857142857142855</v>
      </c>
      <c r="AO7" s="23">
        <v>0</v>
      </c>
      <c r="AP7" s="52" t="s">
        <v>223</v>
      </c>
      <c r="AQ7" s="43">
        <v>0.52380952380952372</v>
      </c>
      <c r="AR7" s="23">
        <v>0</v>
      </c>
      <c r="AS7" s="24" t="s">
        <v>223</v>
      </c>
      <c r="AT7" s="43">
        <v>0.61904761904761907</v>
      </c>
      <c r="AU7" s="23">
        <v>0</v>
      </c>
      <c r="AV7" s="24" t="s">
        <v>223</v>
      </c>
      <c r="AW7" s="43">
        <v>0.7142857142857143</v>
      </c>
      <c r="AX7" s="23">
        <v>1</v>
      </c>
      <c r="AY7" s="24" t="s">
        <v>223</v>
      </c>
      <c r="AZ7" s="43">
        <v>0.5714285714285714</v>
      </c>
      <c r="BA7" s="23">
        <v>0</v>
      </c>
      <c r="BB7" s="24" t="s">
        <v>223</v>
      </c>
      <c r="BC7" s="43">
        <v>0.5714285714285714</v>
      </c>
      <c r="BD7" s="23">
        <v>0</v>
      </c>
      <c r="BE7" s="24" t="s">
        <v>223</v>
      </c>
      <c r="BF7" s="43">
        <v>0.66666666666666663</v>
      </c>
      <c r="BG7" s="23">
        <v>0</v>
      </c>
      <c r="BH7" s="91" t="s">
        <v>223</v>
      </c>
      <c r="BI7" s="44">
        <v>0.61904761904761907</v>
      </c>
      <c r="BJ7" s="23">
        <v>0</v>
      </c>
      <c r="BK7" s="145" t="s">
        <v>223</v>
      </c>
      <c r="BL7" s="471">
        <v>1</v>
      </c>
      <c r="BM7" s="523">
        <v>0</v>
      </c>
      <c r="BN7" s="285">
        <v>2</v>
      </c>
      <c r="BO7" s="190">
        <v>1</v>
      </c>
      <c r="BP7" s="25">
        <v>1</v>
      </c>
      <c r="BQ7" s="288">
        <v>3</v>
      </c>
      <c r="BR7" s="99"/>
      <c r="BS7" s="109">
        <v>7.4</v>
      </c>
      <c r="BT7" s="109" t="s">
        <v>389</v>
      </c>
      <c r="BU7" s="112">
        <v>6</v>
      </c>
      <c r="BV7" s="112" t="s">
        <v>389</v>
      </c>
      <c r="BW7" s="112">
        <v>6.7</v>
      </c>
      <c r="BX7" s="112" t="s">
        <v>389</v>
      </c>
      <c r="BY7" s="112">
        <v>5.4</v>
      </c>
      <c r="BZ7" s="112" t="s">
        <v>389</v>
      </c>
      <c r="CA7" s="112">
        <v>5.6</v>
      </c>
      <c r="CB7" s="112" t="s">
        <v>389</v>
      </c>
      <c r="CC7" s="112">
        <v>5.8</v>
      </c>
      <c r="CD7" s="112" t="s">
        <v>389</v>
      </c>
      <c r="CE7" s="112">
        <v>7</v>
      </c>
      <c r="CF7" s="112" t="s">
        <v>389</v>
      </c>
      <c r="CG7" s="112">
        <v>6.7</v>
      </c>
      <c r="CH7" s="112">
        <v>6.8</v>
      </c>
      <c r="CI7" s="488">
        <v>5.4</v>
      </c>
      <c r="CJ7" s="277">
        <v>6</v>
      </c>
      <c r="CL7" s="267">
        <v>16</v>
      </c>
      <c r="CM7" s="119">
        <v>19</v>
      </c>
      <c r="CN7" s="124"/>
      <c r="CO7" s="125"/>
      <c r="CP7" s="126"/>
      <c r="CQ7" s="126"/>
    </row>
    <row r="8" spans="1:95" x14ac:dyDescent="0.25">
      <c r="A8" s="651"/>
      <c r="B8" s="33" t="s">
        <v>25</v>
      </c>
      <c r="C8" s="235">
        <v>58</v>
      </c>
      <c r="D8" s="246">
        <v>0.625</v>
      </c>
      <c r="E8" s="24">
        <v>0.74468085106382975</v>
      </c>
      <c r="F8" s="23">
        <v>0</v>
      </c>
      <c r="G8" s="17">
        <v>0.93548387096774188</v>
      </c>
      <c r="H8" s="24">
        <v>0.84782608695652173</v>
      </c>
      <c r="I8" s="23">
        <v>1</v>
      </c>
      <c r="J8" s="59">
        <v>0.780241935483871</v>
      </c>
      <c r="K8" s="91">
        <v>0.79625346901017569</v>
      </c>
      <c r="L8" s="23">
        <v>0</v>
      </c>
      <c r="M8" s="51">
        <v>2.64889735016277E-2</v>
      </c>
      <c r="N8" s="60">
        <v>6.9932475735894999E-3</v>
      </c>
      <c r="O8" s="52">
        <v>9.5249814820667802E-5</v>
      </c>
      <c r="P8" s="43">
        <v>0</v>
      </c>
      <c r="Q8" s="52">
        <v>5.4482889314931303E-2</v>
      </c>
      <c r="R8" s="43">
        <v>4.6897300216879899E-2</v>
      </c>
      <c r="S8" s="23">
        <v>0</v>
      </c>
      <c r="T8" s="44">
        <v>2.1669332871701901E-2</v>
      </c>
      <c r="U8" s="52">
        <v>2.1120546363189801E-3</v>
      </c>
      <c r="V8" s="42">
        <v>4.4444444444444398E-2</v>
      </c>
      <c r="W8" s="60">
        <v>0</v>
      </c>
      <c r="X8" s="23">
        <v>1</v>
      </c>
      <c r="Y8" s="190">
        <v>2</v>
      </c>
      <c r="Z8" s="311">
        <v>1</v>
      </c>
      <c r="AA8" s="312">
        <v>1</v>
      </c>
      <c r="AB8" s="188">
        <v>7</v>
      </c>
      <c r="AC8" s="187">
        <v>0</v>
      </c>
      <c r="AD8" s="52">
        <v>0.1206896551724138</v>
      </c>
      <c r="AE8" s="388">
        <v>6.825396825396826</v>
      </c>
      <c r="AF8" s="409"/>
      <c r="AG8" s="387">
        <v>6.3095238095238093</v>
      </c>
      <c r="AH8" s="112"/>
      <c r="AI8" s="387">
        <v>6.5476190476190474</v>
      </c>
      <c r="AJ8" s="112"/>
      <c r="AK8" s="387">
        <v>7.6190476190476186</v>
      </c>
      <c r="AL8" s="271"/>
      <c r="AM8" s="386"/>
      <c r="AN8" s="208">
        <v>0.5714285714285714</v>
      </c>
      <c r="AO8" s="150">
        <v>0</v>
      </c>
      <c r="AP8" s="150" t="s">
        <v>223</v>
      </c>
      <c r="AQ8" s="149">
        <v>0.5714285714285714</v>
      </c>
      <c r="AR8" s="150">
        <v>0</v>
      </c>
      <c r="AS8" s="24" t="s">
        <v>223</v>
      </c>
      <c r="AT8" s="149">
        <v>0.2857142857142857</v>
      </c>
      <c r="AU8" s="150">
        <v>0</v>
      </c>
      <c r="AV8" s="24" t="s">
        <v>223</v>
      </c>
      <c r="AW8" s="149">
        <v>0.71428571428571419</v>
      </c>
      <c r="AX8" s="150">
        <v>1</v>
      </c>
      <c r="AY8" s="24" t="s">
        <v>223</v>
      </c>
      <c r="AZ8" s="149">
        <v>0.42857142857142855</v>
      </c>
      <c r="BA8" s="150">
        <v>0</v>
      </c>
      <c r="BB8" s="24" t="s">
        <v>223</v>
      </c>
      <c r="BC8" s="149">
        <v>0.71428571428571419</v>
      </c>
      <c r="BD8" s="150">
        <v>1</v>
      </c>
      <c r="BE8" s="24" t="s">
        <v>223</v>
      </c>
      <c r="BF8" s="149">
        <v>0.71428571428571419</v>
      </c>
      <c r="BG8" s="150">
        <v>1</v>
      </c>
      <c r="BH8" s="91" t="s">
        <v>223</v>
      </c>
      <c r="BI8" s="149">
        <v>0.5714285714285714</v>
      </c>
      <c r="BJ8" s="23">
        <v>0</v>
      </c>
      <c r="BK8" s="145" t="s">
        <v>223</v>
      </c>
      <c r="BL8" s="472">
        <v>3</v>
      </c>
      <c r="BM8" s="524">
        <v>0</v>
      </c>
      <c r="BN8" s="285">
        <v>4</v>
      </c>
      <c r="BO8" s="190">
        <v>1</v>
      </c>
      <c r="BP8" s="25">
        <v>2</v>
      </c>
      <c r="BQ8" s="288">
        <v>2</v>
      </c>
      <c r="BR8" s="99"/>
      <c r="BS8" s="109">
        <v>6.6</v>
      </c>
      <c r="BT8" s="109" t="s">
        <v>389</v>
      </c>
      <c r="BU8" s="110">
        <v>5.2</v>
      </c>
      <c r="BV8" s="110" t="s">
        <v>389</v>
      </c>
      <c r="BW8" s="110">
        <v>6.1</v>
      </c>
      <c r="BX8" s="110" t="s">
        <v>389</v>
      </c>
      <c r="BY8" s="110">
        <v>4.9000000000000004</v>
      </c>
      <c r="BZ8" s="110" t="s">
        <v>389</v>
      </c>
      <c r="CA8" s="110">
        <v>5.0999999999999996</v>
      </c>
      <c r="CB8" s="110" t="s">
        <v>389</v>
      </c>
      <c r="CC8" s="110">
        <v>5.5</v>
      </c>
      <c r="CD8" s="110" t="s">
        <v>389</v>
      </c>
      <c r="CE8" s="110">
        <v>6</v>
      </c>
      <c r="CF8" s="110" t="s">
        <v>389</v>
      </c>
      <c r="CG8" s="110">
        <v>6.2</v>
      </c>
      <c r="CH8" s="110">
        <v>7</v>
      </c>
      <c r="CI8" s="487">
        <v>5.0999999999999996</v>
      </c>
      <c r="CJ8" s="409">
        <v>6</v>
      </c>
      <c r="CL8" s="270">
        <v>5</v>
      </c>
      <c r="CM8" s="119">
        <v>1</v>
      </c>
      <c r="CN8" s="124"/>
      <c r="CO8" s="125"/>
      <c r="CP8" s="126"/>
      <c r="CQ8" s="126"/>
    </row>
    <row r="9" spans="1:95" x14ac:dyDescent="0.25">
      <c r="A9" s="651"/>
      <c r="B9" s="33" t="s">
        <v>26</v>
      </c>
      <c r="C9" s="235">
        <v>86</v>
      </c>
      <c r="D9" s="246">
        <v>0.39802631578947367</v>
      </c>
      <c r="E9" s="24">
        <v>0.52117263843648209</v>
      </c>
      <c r="F9" s="23">
        <v>0</v>
      </c>
      <c r="G9" s="17">
        <v>0.61467889908256879</v>
      </c>
      <c r="H9" s="24">
        <v>0.55343511450381677</v>
      </c>
      <c r="I9" s="23">
        <v>0</v>
      </c>
      <c r="J9" s="59">
        <v>0.50635260743602117</v>
      </c>
      <c r="K9" s="91">
        <v>0.53730387647014943</v>
      </c>
      <c r="L9" s="23">
        <v>0</v>
      </c>
      <c r="M9" s="51">
        <v>1.5426540878286901E-2</v>
      </c>
      <c r="N9" s="60">
        <v>1.4012051575896399E-2</v>
      </c>
      <c r="O9" s="52">
        <v>7.8288271402751596E-3</v>
      </c>
      <c r="P9" s="43">
        <v>1.1097659388828901E-2</v>
      </c>
      <c r="Q9" s="52">
        <v>6.5505185514448699E-2</v>
      </c>
      <c r="R9" s="43">
        <v>7.7331656072409397E-2</v>
      </c>
      <c r="S9" s="23">
        <v>0</v>
      </c>
      <c r="T9" s="44">
        <v>2.4976408568236002E-2</v>
      </c>
      <c r="U9" s="52">
        <v>2.8887085269511701E-2</v>
      </c>
      <c r="V9" s="42">
        <v>4.3478260869565202E-2</v>
      </c>
      <c r="W9" s="60">
        <v>3.4003091190108199E-2</v>
      </c>
      <c r="X9" s="23">
        <v>1</v>
      </c>
      <c r="Y9" s="190">
        <v>14</v>
      </c>
      <c r="Z9" s="311">
        <v>1</v>
      </c>
      <c r="AA9" s="312">
        <v>1</v>
      </c>
      <c r="AB9" s="188">
        <v>39</v>
      </c>
      <c r="AC9" s="187">
        <v>3</v>
      </c>
      <c r="AD9" s="52">
        <v>0.45348837209302323</v>
      </c>
      <c r="AE9" s="408">
        <v>5.9259259259259265</v>
      </c>
      <c r="AF9" s="409">
        <v>4.9074074074074083</v>
      </c>
      <c r="AG9" s="112">
        <v>5.5982905982905979</v>
      </c>
      <c r="AH9" s="112">
        <v>5.833333333333333</v>
      </c>
      <c r="AI9" s="112">
        <v>5.4273504273504276</v>
      </c>
      <c r="AJ9" s="112">
        <v>3.0555555555555554</v>
      </c>
      <c r="AK9" s="112">
        <v>6.7521367521367521</v>
      </c>
      <c r="AL9" s="111">
        <v>5.833333333333333</v>
      </c>
      <c r="AM9" s="386">
        <v>0.73123797305965366</v>
      </c>
      <c r="AN9" s="60">
        <v>0.4358974358974359</v>
      </c>
      <c r="AO9" s="23">
        <v>0</v>
      </c>
      <c r="AP9" s="52" t="s">
        <v>223</v>
      </c>
      <c r="AQ9" s="43">
        <v>0.4358974358974359</v>
      </c>
      <c r="AR9" s="23">
        <v>0</v>
      </c>
      <c r="AS9" s="24" t="s">
        <v>223</v>
      </c>
      <c r="AT9" s="43">
        <v>0.33333333333333337</v>
      </c>
      <c r="AU9" s="23">
        <v>0</v>
      </c>
      <c r="AV9" s="24" t="s">
        <v>223</v>
      </c>
      <c r="AW9" s="43">
        <v>0.4358974358974359</v>
      </c>
      <c r="AX9" s="23">
        <v>0</v>
      </c>
      <c r="AY9" s="24" t="s">
        <v>223</v>
      </c>
      <c r="AZ9" s="43">
        <v>0.64102564102564108</v>
      </c>
      <c r="BA9" s="23">
        <v>0</v>
      </c>
      <c r="BB9" s="24" t="s">
        <v>223</v>
      </c>
      <c r="BC9" s="43">
        <v>0.48717948717948717</v>
      </c>
      <c r="BD9" s="23">
        <v>0</v>
      </c>
      <c r="BE9" s="24" t="s">
        <v>223</v>
      </c>
      <c r="BF9" s="43">
        <v>0.51282051282051277</v>
      </c>
      <c r="BG9" s="23">
        <v>0</v>
      </c>
      <c r="BH9" s="91" t="s">
        <v>223</v>
      </c>
      <c r="BI9" s="44">
        <v>0.48717948717948717</v>
      </c>
      <c r="BJ9" s="23">
        <v>0</v>
      </c>
      <c r="BK9" s="145" t="s">
        <v>223</v>
      </c>
      <c r="BL9" s="471">
        <v>0</v>
      </c>
      <c r="BM9" s="523">
        <v>0</v>
      </c>
      <c r="BN9" s="285">
        <v>1</v>
      </c>
      <c r="BO9" s="190">
        <v>1</v>
      </c>
      <c r="BP9" s="25">
        <v>1</v>
      </c>
      <c r="BQ9" s="288">
        <v>1</v>
      </c>
      <c r="BR9" s="99"/>
      <c r="BS9" s="109">
        <v>5.9</v>
      </c>
      <c r="BT9" s="109" t="s">
        <v>389</v>
      </c>
      <c r="BU9" s="112">
        <v>4.5999999999999996</v>
      </c>
      <c r="BV9" s="112" t="s">
        <v>389</v>
      </c>
      <c r="BW9" s="112">
        <v>5.5</v>
      </c>
      <c r="BX9" s="112" t="s">
        <v>389</v>
      </c>
      <c r="BY9" s="112">
        <v>4.2</v>
      </c>
      <c r="BZ9" s="112" t="s">
        <v>389</v>
      </c>
      <c r="CA9" s="112">
        <v>4.3</v>
      </c>
      <c r="CB9" s="112" t="s">
        <v>389</v>
      </c>
      <c r="CC9" s="112">
        <v>4.9000000000000004</v>
      </c>
      <c r="CD9" s="112" t="s">
        <v>389</v>
      </c>
      <c r="CE9" s="112">
        <v>5.3</v>
      </c>
      <c r="CF9" s="112" t="s">
        <v>389</v>
      </c>
      <c r="CG9" s="112">
        <v>5.6</v>
      </c>
      <c r="CH9" s="112">
        <v>7</v>
      </c>
      <c r="CI9" s="488">
        <v>4</v>
      </c>
      <c r="CJ9" s="277">
        <v>6.2</v>
      </c>
      <c r="CL9" s="267">
        <v>135</v>
      </c>
      <c r="CM9" s="119">
        <v>129</v>
      </c>
      <c r="CN9" s="124"/>
      <c r="CO9" s="125"/>
      <c r="CP9" s="126"/>
      <c r="CQ9" s="126"/>
    </row>
    <row r="10" spans="1:95" x14ac:dyDescent="0.25">
      <c r="A10" s="651"/>
      <c r="B10" s="33" t="s">
        <v>27</v>
      </c>
      <c r="C10" s="235">
        <v>370</v>
      </c>
      <c r="D10" s="246">
        <v>0.54545454545454541</v>
      </c>
      <c r="E10" s="24">
        <v>0.77777777777777779</v>
      </c>
      <c r="F10" s="23">
        <v>0</v>
      </c>
      <c r="G10" s="17">
        <v>0.94623655913978499</v>
      </c>
      <c r="H10" s="24">
        <v>0.90909090909090906</v>
      </c>
      <c r="I10" s="23">
        <v>1</v>
      </c>
      <c r="J10" s="59">
        <v>0.7458455522971652</v>
      </c>
      <c r="K10" s="91">
        <v>0.84343434343434343</v>
      </c>
      <c r="L10" s="23">
        <v>0</v>
      </c>
      <c r="M10" s="51">
        <v>8.6417633967941897E-3</v>
      </c>
      <c r="N10" s="60">
        <v>1.13284293346003E-2</v>
      </c>
      <c r="O10" s="52">
        <v>1.3178222197780001E-2</v>
      </c>
      <c r="P10" s="43">
        <v>4.6714991914620302E-3</v>
      </c>
      <c r="Q10" s="52">
        <v>5.2322352737322199E-2</v>
      </c>
      <c r="R10" s="43">
        <v>5.9028332401721999E-2</v>
      </c>
      <c r="S10" s="23">
        <v>0</v>
      </c>
      <c r="T10" s="44">
        <v>1.97402319559195E-2</v>
      </c>
      <c r="U10" s="52">
        <v>1.9042242374502E-2</v>
      </c>
      <c r="V10" s="42">
        <v>0</v>
      </c>
      <c r="W10" s="60">
        <v>0</v>
      </c>
      <c r="X10" s="23">
        <v>1</v>
      </c>
      <c r="Y10" s="190">
        <v>0</v>
      </c>
      <c r="Z10" s="311">
        <v>1</v>
      </c>
      <c r="AA10" s="312">
        <v>1</v>
      </c>
      <c r="AB10" s="188">
        <v>8</v>
      </c>
      <c r="AC10" s="187">
        <v>1</v>
      </c>
      <c r="AD10" s="52">
        <v>2.1621621621621623E-2</v>
      </c>
      <c r="AE10" s="408">
        <v>8.0208333333333321</v>
      </c>
      <c r="AF10" s="409">
        <v>8.0555555555555554</v>
      </c>
      <c r="AG10" s="112">
        <v>8.6458333333333339</v>
      </c>
      <c r="AH10" s="112">
        <v>9.1666666666666661</v>
      </c>
      <c r="AI10" s="112">
        <v>7.916666666666667</v>
      </c>
      <c r="AJ10" s="112">
        <v>6.666666666666667</v>
      </c>
      <c r="AK10" s="112">
        <v>7.5</v>
      </c>
      <c r="AL10" s="271">
        <v>8.3333333333333339</v>
      </c>
      <c r="AM10" s="388"/>
      <c r="AN10" s="263">
        <v>0.75</v>
      </c>
      <c r="AO10" s="262">
        <v>1</v>
      </c>
      <c r="AP10" s="262" t="s">
        <v>223</v>
      </c>
      <c r="AQ10" s="261">
        <v>1</v>
      </c>
      <c r="AR10" s="262">
        <v>1</v>
      </c>
      <c r="AS10" s="24" t="s">
        <v>223</v>
      </c>
      <c r="AT10" s="261">
        <v>0.625</v>
      </c>
      <c r="AU10" s="262">
        <v>0</v>
      </c>
      <c r="AV10" s="24" t="s">
        <v>223</v>
      </c>
      <c r="AW10" s="261">
        <v>1</v>
      </c>
      <c r="AX10" s="262">
        <v>1</v>
      </c>
      <c r="AY10" s="24" t="s">
        <v>223</v>
      </c>
      <c r="AZ10" s="261">
        <v>0.75</v>
      </c>
      <c r="BA10" s="262">
        <v>1</v>
      </c>
      <c r="BB10" s="24" t="s">
        <v>223</v>
      </c>
      <c r="BC10" s="261">
        <v>1</v>
      </c>
      <c r="BD10" s="262">
        <v>1</v>
      </c>
      <c r="BE10" s="24" t="s">
        <v>223</v>
      </c>
      <c r="BF10" s="261">
        <v>1</v>
      </c>
      <c r="BG10" s="262">
        <v>1</v>
      </c>
      <c r="BH10" s="91" t="s">
        <v>223</v>
      </c>
      <c r="BI10" s="261">
        <v>0.625</v>
      </c>
      <c r="BJ10" s="23">
        <v>0</v>
      </c>
      <c r="BK10" s="145" t="s">
        <v>223</v>
      </c>
      <c r="BL10" s="471">
        <v>6</v>
      </c>
      <c r="BM10" s="524">
        <v>0</v>
      </c>
      <c r="BN10" s="285">
        <v>7</v>
      </c>
      <c r="BO10" s="190">
        <v>1</v>
      </c>
      <c r="BP10" s="25">
        <v>4</v>
      </c>
      <c r="BQ10" s="288">
        <v>1</v>
      </c>
      <c r="BR10" s="99"/>
      <c r="BS10" s="109">
        <v>6.9</v>
      </c>
      <c r="BT10" s="109" t="s">
        <v>389</v>
      </c>
      <c r="BU10" s="112">
        <v>5.6</v>
      </c>
      <c r="BV10" s="112" t="s">
        <v>389</v>
      </c>
      <c r="BW10" s="112">
        <v>6.6</v>
      </c>
      <c r="BX10" s="112" t="s">
        <v>389</v>
      </c>
      <c r="BY10" s="112">
        <v>5.3</v>
      </c>
      <c r="BZ10" s="112" t="s">
        <v>389</v>
      </c>
      <c r="CA10" s="112">
        <v>5.4</v>
      </c>
      <c r="CB10" s="112" t="s">
        <v>389</v>
      </c>
      <c r="CC10" s="112">
        <v>5.6</v>
      </c>
      <c r="CD10" s="112" t="s">
        <v>389</v>
      </c>
      <c r="CE10" s="112">
        <v>6.7</v>
      </c>
      <c r="CF10" s="112" t="s">
        <v>389</v>
      </c>
      <c r="CG10" s="112">
        <v>6.6</v>
      </c>
      <c r="CH10" s="112">
        <v>7.3</v>
      </c>
      <c r="CI10" s="488">
        <v>5.4</v>
      </c>
      <c r="CJ10" s="277">
        <v>6.6</v>
      </c>
      <c r="CL10" s="268" t="s">
        <v>223</v>
      </c>
      <c r="CM10" s="119">
        <v>0</v>
      </c>
      <c r="CN10" s="124"/>
      <c r="CO10" s="125"/>
      <c r="CP10" s="126"/>
      <c r="CQ10" s="126"/>
    </row>
    <row r="11" spans="1:95" x14ac:dyDescent="0.25">
      <c r="A11" s="651"/>
      <c r="B11" s="33" t="s">
        <v>28</v>
      </c>
      <c r="C11" s="235">
        <v>50</v>
      </c>
      <c r="D11" s="246">
        <v>0.5444444444444444</v>
      </c>
      <c r="E11" s="24">
        <v>0.66945606694560666</v>
      </c>
      <c r="F11" s="23">
        <v>0</v>
      </c>
      <c r="G11" s="17">
        <v>0.86458333333333337</v>
      </c>
      <c r="H11" s="24">
        <v>0.83419689119170981</v>
      </c>
      <c r="I11" s="23">
        <v>0</v>
      </c>
      <c r="J11" s="59">
        <v>0.70451388888888888</v>
      </c>
      <c r="K11" s="91">
        <v>0.75182647906865818</v>
      </c>
      <c r="L11" s="23">
        <v>0</v>
      </c>
      <c r="M11" s="51">
        <v>2.75954529719276E-2</v>
      </c>
      <c r="N11" s="60">
        <v>2.1000801344079199E-2</v>
      </c>
      <c r="O11" s="52">
        <v>1.23712352096653E-2</v>
      </c>
      <c r="P11" s="43">
        <v>5.8500906136870201E-3</v>
      </c>
      <c r="Q11" s="52">
        <v>8.9333612097180104E-2</v>
      </c>
      <c r="R11" s="43">
        <v>8.8652710274410601E-2</v>
      </c>
      <c r="S11" s="23">
        <v>0</v>
      </c>
      <c r="T11" s="44">
        <v>4.2431367230966598E-2</v>
      </c>
      <c r="U11" s="52">
        <v>2.9046932511821201E-2</v>
      </c>
      <c r="V11" s="42">
        <v>0.02</v>
      </c>
      <c r="W11" s="60">
        <v>2.7713625866050799E-2</v>
      </c>
      <c r="X11" s="23">
        <v>1</v>
      </c>
      <c r="Y11" s="190">
        <v>3</v>
      </c>
      <c r="Z11" s="311">
        <v>1</v>
      </c>
      <c r="AA11" s="312">
        <v>1</v>
      </c>
      <c r="AB11" s="188">
        <v>11</v>
      </c>
      <c r="AC11" s="187">
        <v>0</v>
      </c>
      <c r="AD11" s="52">
        <v>0.22</v>
      </c>
      <c r="AE11" s="388">
        <v>6.8434343434343434</v>
      </c>
      <c r="AF11" s="409"/>
      <c r="AG11" s="387">
        <v>6.5909090909090908</v>
      </c>
      <c r="AH11" s="112"/>
      <c r="AI11" s="387">
        <v>7.0454545454545459</v>
      </c>
      <c r="AJ11" s="112"/>
      <c r="AK11" s="387">
        <v>6.8939393939393936</v>
      </c>
      <c r="AL11" s="111"/>
      <c r="AM11" s="386">
        <v>0.9910714285714286</v>
      </c>
      <c r="AN11" s="208">
        <v>0.54545454545454541</v>
      </c>
      <c r="AO11" s="150">
        <v>0</v>
      </c>
      <c r="AP11" s="150" t="s">
        <v>223</v>
      </c>
      <c r="AQ11" s="149">
        <v>0.72727272727272729</v>
      </c>
      <c r="AR11" s="150">
        <v>1</v>
      </c>
      <c r="AS11" s="24" t="s">
        <v>223</v>
      </c>
      <c r="AT11" s="149">
        <v>0.45454545454545453</v>
      </c>
      <c r="AU11" s="150">
        <v>0</v>
      </c>
      <c r="AV11" s="24" t="s">
        <v>223</v>
      </c>
      <c r="AW11" s="149">
        <v>0.63636363636363635</v>
      </c>
      <c r="AX11" s="150">
        <v>0</v>
      </c>
      <c r="AY11" s="24" t="s">
        <v>223</v>
      </c>
      <c r="AZ11" s="149">
        <v>0.72727272727272729</v>
      </c>
      <c r="BA11" s="150">
        <v>1</v>
      </c>
      <c r="BB11" s="24" t="s">
        <v>223</v>
      </c>
      <c r="BC11" s="149">
        <v>0.63636363636363635</v>
      </c>
      <c r="BD11" s="150">
        <v>0</v>
      </c>
      <c r="BE11" s="24" t="s">
        <v>223</v>
      </c>
      <c r="BF11" s="149">
        <v>0.54545454545454541</v>
      </c>
      <c r="BG11" s="150">
        <v>0</v>
      </c>
      <c r="BH11" s="91" t="s">
        <v>223</v>
      </c>
      <c r="BI11" s="149">
        <v>0.63636363636363635</v>
      </c>
      <c r="BJ11" s="23">
        <v>0</v>
      </c>
      <c r="BK11" s="145" t="s">
        <v>223</v>
      </c>
      <c r="BL11" s="472">
        <v>2</v>
      </c>
      <c r="BM11" s="524">
        <v>0</v>
      </c>
      <c r="BN11" s="285">
        <v>3</v>
      </c>
      <c r="BO11" s="190">
        <v>1</v>
      </c>
      <c r="BP11" s="25">
        <v>1</v>
      </c>
      <c r="BQ11" s="288">
        <v>6</v>
      </c>
      <c r="BR11" s="99"/>
      <c r="BS11" s="116">
        <v>6.9</v>
      </c>
      <c r="BT11" s="116" t="s">
        <v>389</v>
      </c>
      <c r="BU11" s="112">
        <v>5.6</v>
      </c>
      <c r="BV11" s="112" t="s">
        <v>389</v>
      </c>
      <c r="BW11" s="112">
        <v>6.6</v>
      </c>
      <c r="BX11" s="112" t="s">
        <v>389</v>
      </c>
      <c r="BY11" s="112">
        <v>5.3</v>
      </c>
      <c r="BZ11" s="112" t="s">
        <v>389</v>
      </c>
      <c r="CA11" s="112">
        <v>5.4</v>
      </c>
      <c r="CB11" s="112" t="s">
        <v>389</v>
      </c>
      <c r="CC11" s="112">
        <v>5.6</v>
      </c>
      <c r="CD11" s="112" t="s">
        <v>389</v>
      </c>
      <c r="CE11" s="112">
        <v>6.7</v>
      </c>
      <c r="CF11" s="112" t="s">
        <v>389</v>
      </c>
      <c r="CG11" s="112">
        <v>6.6</v>
      </c>
      <c r="CH11" s="112">
        <v>7</v>
      </c>
      <c r="CI11" s="488">
        <v>5.4</v>
      </c>
      <c r="CJ11" s="277">
        <v>6</v>
      </c>
      <c r="CL11" s="267">
        <v>36</v>
      </c>
      <c r="CM11" s="119">
        <v>30</v>
      </c>
      <c r="CN11" s="124"/>
      <c r="CO11" s="125"/>
      <c r="CP11" s="126"/>
      <c r="CQ11" s="126"/>
    </row>
    <row r="12" spans="1:95" x14ac:dyDescent="0.25">
      <c r="A12" s="651"/>
      <c r="B12" s="33" t="s">
        <v>29</v>
      </c>
      <c r="C12" s="235">
        <v>123</v>
      </c>
      <c r="D12" s="246">
        <v>0.48181818181818181</v>
      </c>
      <c r="E12" s="24">
        <v>0.63366336633663367</v>
      </c>
      <c r="F12" s="23">
        <v>0</v>
      </c>
      <c r="G12" s="17">
        <v>0.8</v>
      </c>
      <c r="H12" s="24">
        <v>0.76086956521739135</v>
      </c>
      <c r="I12" s="23">
        <v>0</v>
      </c>
      <c r="J12" s="59">
        <v>0.64090909090909087</v>
      </c>
      <c r="K12" s="91">
        <v>0.69726646577701246</v>
      </c>
      <c r="L12" s="23">
        <v>0</v>
      </c>
      <c r="M12" s="51">
        <v>2.5330533977063101E-3</v>
      </c>
      <c r="N12" s="60">
        <v>9.5207922874680096E-3</v>
      </c>
      <c r="O12" s="52">
        <v>1.28680127223824E-4</v>
      </c>
      <c r="P12" s="43">
        <v>1.12014340691936E-2</v>
      </c>
      <c r="Q12" s="52">
        <v>2.22950651745028E-2</v>
      </c>
      <c r="R12" s="43">
        <v>7.1521785246200897E-2</v>
      </c>
      <c r="S12" s="23">
        <v>1</v>
      </c>
      <c r="T12" s="44">
        <v>3.0351782216719901E-3</v>
      </c>
      <c r="U12" s="52">
        <v>2.5118673716568299E-2</v>
      </c>
      <c r="V12" s="42">
        <v>0.03</v>
      </c>
      <c r="W12" s="60">
        <v>6.18556701030928E-2</v>
      </c>
      <c r="X12" s="23">
        <v>1</v>
      </c>
      <c r="Y12" s="190">
        <v>3</v>
      </c>
      <c r="Z12" s="311">
        <v>2</v>
      </c>
      <c r="AA12" s="312">
        <v>1</v>
      </c>
      <c r="AB12" s="188">
        <v>17</v>
      </c>
      <c r="AC12" s="187">
        <v>2</v>
      </c>
      <c r="AD12" s="52">
        <v>0.13821138211382114</v>
      </c>
      <c r="AE12" s="408">
        <v>7.2058823529411766</v>
      </c>
      <c r="AF12" s="409">
        <v>5.416666666666667</v>
      </c>
      <c r="AG12" s="112">
        <v>7.4019607843137258</v>
      </c>
      <c r="AH12" s="112">
        <v>5</v>
      </c>
      <c r="AI12" s="112">
        <v>6.8137254901960782</v>
      </c>
      <c r="AJ12" s="112">
        <v>5.833333333333333</v>
      </c>
      <c r="AK12" s="112">
        <v>7.4019607843137258</v>
      </c>
      <c r="AL12" s="271">
        <v>5.416666666666667</v>
      </c>
      <c r="AM12" s="386">
        <v>0.98901098901098905</v>
      </c>
      <c r="AN12" s="60">
        <v>0.82352941176470584</v>
      </c>
      <c r="AO12" s="23">
        <v>1</v>
      </c>
      <c r="AP12" s="52" t="s">
        <v>223</v>
      </c>
      <c r="AQ12" s="43">
        <v>0.58823529411764708</v>
      </c>
      <c r="AR12" s="23">
        <v>0</v>
      </c>
      <c r="AS12" s="24" t="s">
        <v>223</v>
      </c>
      <c r="AT12" s="43">
        <v>0.64705882352941169</v>
      </c>
      <c r="AU12" s="23">
        <v>0</v>
      </c>
      <c r="AV12" s="24" t="s">
        <v>223</v>
      </c>
      <c r="AW12" s="43">
        <v>0.70588235294117641</v>
      </c>
      <c r="AX12" s="23">
        <v>1</v>
      </c>
      <c r="AY12" s="24" t="s">
        <v>223</v>
      </c>
      <c r="AZ12" s="43">
        <v>0.82352941176470595</v>
      </c>
      <c r="BA12" s="23">
        <v>1</v>
      </c>
      <c r="BB12" s="24" t="s">
        <v>223</v>
      </c>
      <c r="BC12" s="43">
        <v>0.70588235294117641</v>
      </c>
      <c r="BD12" s="23">
        <v>1</v>
      </c>
      <c r="BE12" s="24" t="s">
        <v>223</v>
      </c>
      <c r="BF12" s="43">
        <v>0.70588235294117641</v>
      </c>
      <c r="BG12" s="23">
        <v>1</v>
      </c>
      <c r="BH12" s="91" t="s">
        <v>223</v>
      </c>
      <c r="BI12" s="44">
        <v>0.76470588235294124</v>
      </c>
      <c r="BJ12" s="23">
        <v>1</v>
      </c>
      <c r="BK12" s="145" t="s">
        <v>223</v>
      </c>
      <c r="BL12" s="471">
        <v>6</v>
      </c>
      <c r="BM12" s="523">
        <v>0</v>
      </c>
      <c r="BN12" s="285">
        <v>8</v>
      </c>
      <c r="BO12" s="190">
        <v>1</v>
      </c>
      <c r="BP12" s="25">
        <v>9</v>
      </c>
      <c r="BQ12" s="288">
        <v>6</v>
      </c>
      <c r="BR12" s="99"/>
      <c r="BS12" s="109">
        <v>7.4</v>
      </c>
      <c r="BT12" s="109" t="s">
        <v>389</v>
      </c>
      <c r="BU12" s="112">
        <v>6.1</v>
      </c>
      <c r="BV12" s="112" t="s">
        <v>389</v>
      </c>
      <c r="BW12" s="112">
        <v>6.8</v>
      </c>
      <c r="BX12" s="112" t="s">
        <v>389</v>
      </c>
      <c r="BY12" s="112">
        <v>5.8</v>
      </c>
      <c r="BZ12" s="112" t="s">
        <v>389</v>
      </c>
      <c r="CA12" s="112">
        <v>5.3</v>
      </c>
      <c r="CB12" s="112" t="s">
        <v>389</v>
      </c>
      <c r="CC12" s="112">
        <v>5.8</v>
      </c>
      <c r="CD12" s="112" t="s">
        <v>389</v>
      </c>
      <c r="CE12" s="112">
        <v>6.8</v>
      </c>
      <c r="CF12" s="112" t="s">
        <v>389</v>
      </c>
      <c r="CG12" s="112">
        <v>6.9</v>
      </c>
      <c r="CH12" s="112">
        <v>7.1</v>
      </c>
      <c r="CI12" s="488">
        <v>5.8</v>
      </c>
      <c r="CJ12" s="277">
        <v>6.2</v>
      </c>
      <c r="CL12" s="267">
        <v>12</v>
      </c>
      <c r="CM12" s="119">
        <v>8</v>
      </c>
      <c r="CN12" s="124"/>
      <c r="CO12" s="125"/>
      <c r="CP12" s="126"/>
      <c r="CQ12" s="126"/>
    </row>
    <row r="13" spans="1:95" x14ac:dyDescent="0.25">
      <c r="A13" s="651"/>
      <c r="B13" s="33" t="s">
        <v>30</v>
      </c>
      <c r="C13" s="235">
        <v>229</v>
      </c>
      <c r="D13" s="246">
        <v>0.60233918128654973</v>
      </c>
      <c r="E13" s="24">
        <v>0.74774774774774777</v>
      </c>
      <c r="F13" s="23">
        <v>0</v>
      </c>
      <c r="G13" s="17">
        <v>0.93495934959349591</v>
      </c>
      <c r="H13" s="24">
        <v>0.84965034965034969</v>
      </c>
      <c r="I13" s="23">
        <v>1</v>
      </c>
      <c r="J13" s="59">
        <v>0.76864926544002277</v>
      </c>
      <c r="K13" s="91">
        <v>0.79869904869904873</v>
      </c>
      <c r="L13" s="23">
        <v>0</v>
      </c>
      <c r="M13" s="51">
        <v>2.3376169902217501E-2</v>
      </c>
      <c r="N13" s="60">
        <v>2.6793891009397299E-2</v>
      </c>
      <c r="O13" s="52">
        <v>6.7933753286065404E-3</v>
      </c>
      <c r="P13" s="43">
        <v>9.7235008146691806E-3</v>
      </c>
      <c r="Q13" s="52">
        <v>8.4640628894051398E-2</v>
      </c>
      <c r="R13" s="43">
        <v>9.3242875988374302E-2</v>
      </c>
      <c r="S13" s="23">
        <v>0</v>
      </c>
      <c r="T13" s="44">
        <v>4.3999024588218402E-2</v>
      </c>
      <c r="U13" s="52">
        <v>4.4388720227851494E-2</v>
      </c>
      <c r="V13" s="42">
        <v>3.6671368124118503E-2</v>
      </c>
      <c r="W13" s="60">
        <v>5.9238363892806803E-2</v>
      </c>
      <c r="X13" s="23">
        <v>1</v>
      </c>
      <c r="Y13" s="190">
        <v>13</v>
      </c>
      <c r="Z13" s="311">
        <v>1</v>
      </c>
      <c r="AA13" s="312">
        <v>1</v>
      </c>
      <c r="AB13" s="188">
        <v>37</v>
      </c>
      <c r="AC13" s="187">
        <v>2</v>
      </c>
      <c r="AD13" s="52">
        <v>0.16157205240174671</v>
      </c>
      <c r="AE13" s="408">
        <v>6.2912912912912917</v>
      </c>
      <c r="AF13" s="409">
        <v>6.9444444444444438</v>
      </c>
      <c r="AG13" s="112">
        <v>5.8558558558558556</v>
      </c>
      <c r="AH13" s="112">
        <v>7.083333333333333</v>
      </c>
      <c r="AI13" s="112">
        <v>6.1261261261261257</v>
      </c>
      <c r="AJ13" s="112">
        <v>7.083333333333333</v>
      </c>
      <c r="AK13" s="112">
        <v>6.8918918918918921</v>
      </c>
      <c r="AL13" s="271">
        <v>6.666666666666667</v>
      </c>
      <c r="AM13" s="386">
        <v>0.93150684931506844</v>
      </c>
      <c r="AN13" s="60">
        <v>0.45945945945945948</v>
      </c>
      <c r="AO13" s="23">
        <v>0</v>
      </c>
      <c r="AP13" s="52" t="s">
        <v>223</v>
      </c>
      <c r="AQ13" s="43">
        <v>0.48648648648648651</v>
      </c>
      <c r="AR13" s="23">
        <v>0</v>
      </c>
      <c r="AS13" s="24" t="s">
        <v>223</v>
      </c>
      <c r="AT13" s="43">
        <v>0.48648648648648651</v>
      </c>
      <c r="AU13" s="23">
        <v>0</v>
      </c>
      <c r="AV13" s="24" t="s">
        <v>223</v>
      </c>
      <c r="AW13" s="43">
        <v>0.59459459459459463</v>
      </c>
      <c r="AX13" s="23">
        <v>0</v>
      </c>
      <c r="AY13" s="24" t="s">
        <v>223</v>
      </c>
      <c r="AZ13" s="43">
        <v>0.54054054054054057</v>
      </c>
      <c r="BA13" s="23">
        <v>0</v>
      </c>
      <c r="BB13" s="24" t="s">
        <v>223</v>
      </c>
      <c r="BC13" s="43">
        <v>0.5135135135135136</v>
      </c>
      <c r="BD13" s="23">
        <v>0</v>
      </c>
      <c r="BE13" s="24" t="s">
        <v>223</v>
      </c>
      <c r="BF13" s="43">
        <v>0.62162162162162171</v>
      </c>
      <c r="BG13" s="23">
        <v>0</v>
      </c>
      <c r="BH13" s="91" t="s">
        <v>223</v>
      </c>
      <c r="BI13" s="44">
        <v>0.59459459459459463</v>
      </c>
      <c r="BJ13" s="23">
        <v>0</v>
      </c>
      <c r="BK13" s="145" t="s">
        <v>223</v>
      </c>
      <c r="BL13" s="471">
        <v>0</v>
      </c>
      <c r="BM13" s="523">
        <v>0</v>
      </c>
      <c r="BN13" s="285">
        <v>1</v>
      </c>
      <c r="BO13" s="190">
        <v>1</v>
      </c>
      <c r="BP13" s="25">
        <v>2</v>
      </c>
      <c r="BQ13" s="288">
        <v>5</v>
      </c>
      <c r="BR13" s="99"/>
      <c r="BS13" s="109">
        <v>6.8</v>
      </c>
      <c r="BT13" s="109" t="s">
        <v>389</v>
      </c>
      <c r="BU13" s="112">
        <v>5.5</v>
      </c>
      <c r="BV13" s="112" t="s">
        <v>389</v>
      </c>
      <c r="BW13" s="112">
        <v>6.4</v>
      </c>
      <c r="BX13" s="112" t="s">
        <v>389</v>
      </c>
      <c r="BY13" s="112">
        <v>5.0999999999999996</v>
      </c>
      <c r="BZ13" s="112" t="s">
        <v>389</v>
      </c>
      <c r="CA13" s="112">
        <v>5.0999999999999996</v>
      </c>
      <c r="CB13" s="112" t="s">
        <v>389</v>
      </c>
      <c r="CC13" s="112">
        <v>5.5</v>
      </c>
      <c r="CD13" s="112" t="s">
        <v>389</v>
      </c>
      <c r="CE13" s="112">
        <v>6.1</v>
      </c>
      <c r="CF13" s="112" t="s">
        <v>389</v>
      </c>
      <c r="CG13" s="112">
        <v>6.5</v>
      </c>
      <c r="CH13" s="112">
        <v>7.1</v>
      </c>
      <c r="CI13" s="488">
        <v>5.2</v>
      </c>
      <c r="CJ13" s="277">
        <v>6.7</v>
      </c>
      <c r="CL13" s="267">
        <v>28</v>
      </c>
      <c r="CM13" s="119">
        <v>33</v>
      </c>
      <c r="CN13" s="124"/>
      <c r="CO13" s="125"/>
      <c r="CP13" s="126"/>
      <c r="CQ13" s="126"/>
    </row>
    <row r="14" spans="1:95" x14ac:dyDescent="0.25">
      <c r="A14" s="651"/>
      <c r="B14" s="33" t="s">
        <v>31</v>
      </c>
      <c r="C14" s="235">
        <v>77</v>
      </c>
      <c r="D14" s="246">
        <v>0.6901408450704225</v>
      </c>
      <c r="E14" s="24">
        <v>0.65517241379310343</v>
      </c>
      <c r="F14" s="23">
        <v>0</v>
      </c>
      <c r="G14" s="17">
        <v>0.9285714285714286</v>
      </c>
      <c r="H14" s="24">
        <v>0.76923076923076927</v>
      </c>
      <c r="I14" s="23">
        <v>1</v>
      </c>
      <c r="J14" s="59">
        <v>0.80935613682092555</v>
      </c>
      <c r="K14" s="91">
        <v>0.7122015915119364</v>
      </c>
      <c r="L14" s="23">
        <v>0</v>
      </c>
      <c r="M14" s="51">
        <v>1.5804860018791E-2</v>
      </c>
      <c r="N14" s="60">
        <v>0</v>
      </c>
      <c r="O14" s="52">
        <v>5.9135353521239196E-3</v>
      </c>
      <c r="P14" s="43">
        <v>0</v>
      </c>
      <c r="Q14" s="52">
        <v>5.9104640471803402E-2</v>
      </c>
      <c r="R14" s="43">
        <v>8.5071231966726196E-2</v>
      </c>
      <c r="S14" s="23">
        <v>0</v>
      </c>
      <c r="T14" s="44">
        <v>1.8673451186511602E-2</v>
      </c>
      <c r="U14" s="52">
        <v>4.6497859549724296E-2</v>
      </c>
      <c r="V14" s="42">
        <v>7.1942446043165506E-2</v>
      </c>
      <c r="W14" s="60">
        <v>0</v>
      </c>
      <c r="X14" s="23">
        <v>1</v>
      </c>
      <c r="Y14" s="190">
        <v>5</v>
      </c>
      <c r="Z14" s="311">
        <v>1</v>
      </c>
      <c r="AA14" s="312">
        <v>1</v>
      </c>
      <c r="AB14" s="188">
        <v>5</v>
      </c>
      <c r="AC14" s="187">
        <v>0</v>
      </c>
      <c r="AD14" s="52">
        <v>6.4935064935064929E-2</v>
      </c>
      <c r="AE14" s="388">
        <v>6.9444444444444446</v>
      </c>
      <c r="AF14" s="409"/>
      <c r="AG14" s="387">
        <v>6.833333333333333</v>
      </c>
      <c r="AH14" s="112"/>
      <c r="AI14" s="387">
        <v>6.5</v>
      </c>
      <c r="AJ14" s="112"/>
      <c r="AK14" s="387">
        <v>7.5</v>
      </c>
      <c r="AL14" s="111"/>
      <c r="AM14" s="388">
        <v>0.93877551020408168</v>
      </c>
      <c r="AN14" s="208">
        <v>0.6</v>
      </c>
      <c r="AO14" s="150">
        <v>0</v>
      </c>
      <c r="AP14" s="150" t="s">
        <v>223</v>
      </c>
      <c r="AQ14" s="149">
        <v>0.6</v>
      </c>
      <c r="AR14" s="150">
        <v>0</v>
      </c>
      <c r="AS14" s="24" t="s">
        <v>223</v>
      </c>
      <c r="AT14" s="149">
        <v>0.8</v>
      </c>
      <c r="AU14" s="150">
        <v>1</v>
      </c>
      <c r="AV14" s="24" t="s">
        <v>223</v>
      </c>
      <c r="AW14" s="149">
        <v>0.60000000000000009</v>
      </c>
      <c r="AX14" s="150">
        <v>0</v>
      </c>
      <c r="AY14" s="24" t="s">
        <v>223</v>
      </c>
      <c r="AZ14" s="149">
        <v>1</v>
      </c>
      <c r="BA14" s="150">
        <v>1</v>
      </c>
      <c r="BB14" s="24" t="s">
        <v>223</v>
      </c>
      <c r="BC14" s="149">
        <v>0.60000000000000009</v>
      </c>
      <c r="BD14" s="150">
        <v>0</v>
      </c>
      <c r="BE14" s="24" t="s">
        <v>223</v>
      </c>
      <c r="BF14" s="149">
        <v>0.6</v>
      </c>
      <c r="BG14" s="150">
        <v>0</v>
      </c>
      <c r="BH14" s="91" t="s">
        <v>223</v>
      </c>
      <c r="BI14" s="149">
        <v>0.6</v>
      </c>
      <c r="BJ14" s="23">
        <v>0</v>
      </c>
      <c r="BK14" s="145" t="s">
        <v>223</v>
      </c>
      <c r="BL14" s="472">
        <v>2</v>
      </c>
      <c r="BM14" s="524">
        <v>0</v>
      </c>
      <c r="BN14" s="285">
        <v>3</v>
      </c>
      <c r="BO14" s="190">
        <v>1</v>
      </c>
      <c r="BP14" s="25">
        <v>3</v>
      </c>
      <c r="BQ14" s="288">
        <v>2</v>
      </c>
      <c r="BR14" s="99"/>
      <c r="BS14" s="109">
        <v>7.2</v>
      </c>
      <c r="BT14" s="109" t="s">
        <v>389</v>
      </c>
      <c r="BU14" s="112">
        <v>5.9</v>
      </c>
      <c r="BV14" s="112" t="s">
        <v>389</v>
      </c>
      <c r="BW14" s="112">
        <v>6.9</v>
      </c>
      <c r="BX14" s="112" t="s">
        <v>389</v>
      </c>
      <c r="BY14" s="112">
        <v>5.7</v>
      </c>
      <c r="BZ14" s="112" t="s">
        <v>389</v>
      </c>
      <c r="CA14" s="112">
        <v>5.4</v>
      </c>
      <c r="CB14" s="112" t="s">
        <v>389</v>
      </c>
      <c r="CC14" s="112">
        <v>6.2</v>
      </c>
      <c r="CD14" s="112" t="s">
        <v>389</v>
      </c>
      <c r="CE14" s="112">
        <v>6.8</v>
      </c>
      <c r="CF14" s="112" t="s">
        <v>389</v>
      </c>
      <c r="CG14" s="112">
        <v>7.1</v>
      </c>
      <c r="CH14" s="112">
        <v>7</v>
      </c>
      <c r="CI14" s="488">
        <v>5.9</v>
      </c>
      <c r="CJ14" s="277">
        <v>6.2</v>
      </c>
      <c r="CL14" s="267">
        <v>2</v>
      </c>
      <c r="CM14" s="119">
        <v>1</v>
      </c>
      <c r="CN14" s="124"/>
      <c r="CO14" s="125"/>
      <c r="CP14" s="126"/>
      <c r="CQ14" s="126"/>
    </row>
    <row r="15" spans="1:95" x14ac:dyDescent="0.25">
      <c r="A15" s="651"/>
      <c r="B15" s="151" t="s">
        <v>32</v>
      </c>
      <c r="C15" s="235">
        <v>16</v>
      </c>
      <c r="D15" s="246">
        <v>0.625</v>
      </c>
      <c r="E15" s="24">
        <v>0.66666666666666663</v>
      </c>
      <c r="F15" s="23">
        <v>0</v>
      </c>
      <c r="G15" s="17">
        <v>0.5714285714285714</v>
      </c>
      <c r="H15" s="24">
        <v>0.61538461538461542</v>
      </c>
      <c r="I15" s="23">
        <v>0</v>
      </c>
      <c r="J15" s="59">
        <v>0.5982142857142857</v>
      </c>
      <c r="K15" s="91">
        <v>0.64102564102564097</v>
      </c>
      <c r="L15" s="23">
        <v>0</v>
      </c>
      <c r="M15" s="51">
        <v>0</v>
      </c>
      <c r="N15" s="60">
        <v>2.1975234584530401E-3</v>
      </c>
      <c r="O15" s="52">
        <v>1.2290341237709701E-2</v>
      </c>
      <c r="P15" s="43">
        <v>1.7873117544636101E-2</v>
      </c>
      <c r="Q15" s="52">
        <v>5.2053209947946801E-2</v>
      </c>
      <c r="R15" s="43">
        <v>6.4900119555531197E-2</v>
      </c>
      <c r="S15" s="23">
        <v>0</v>
      </c>
      <c r="T15" s="44">
        <v>2.8195488721804499E-2</v>
      </c>
      <c r="U15" s="52">
        <v>1.7873117544636098E-2</v>
      </c>
      <c r="V15" s="42">
        <v>0</v>
      </c>
      <c r="W15" s="60">
        <v>0</v>
      </c>
      <c r="X15" s="23">
        <v>1</v>
      </c>
      <c r="Y15" s="190">
        <v>0</v>
      </c>
      <c r="Z15" s="311">
        <v>1</v>
      </c>
      <c r="AA15" s="312">
        <v>1</v>
      </c>
      <c r="AB15" s="188">
        <v>4</v>
      </c>
      <c r="AC15" s="187">
        <v>0</v>
      </c>
      <c r="AD15" s="52">
        <v>0.25</v>
      </c>
      <c r="AE15" s="388">
        <v>6.666666666666667</v>
      </c>
      <c r="AF15" s="447"/>
      <c r="AG15" s="89">
        <v>5.833333333333333</v>
      </c>
      <c r="AH15" s="89"/>
      <c r="AI15" s="89">
        <v>6.666666666666667</v>
      </c>
      <c r="AJ15" s="89"/>
      <c r="AK15" s="89">
        <v>7.5</v>
      </c>
      <c r="AL15" s="430"/>
      <c r="AM15" s="388"/>
      <c r="AN15" s="208" t="s">
        <v>223</v>
      </c>
      <c r="AO15" s="150">
        <v>0</v>
      </c>
      <c r="AP15" s="150" t="s">
        <v>223</v>
      </c>
      <c r="AQ15" s="149" t="s">
        <v>223</v>
      </c>
      <c r="AR15" s="150">
        <v>0</v>
      </c>
      <c r="AS15" s="24" t="s">
        <v>223</v>
      </c>
      <c r="AT15" s="149" t="s">
        <v>223</v>
      </c>
      <c r="AU15" s="150">
        <v>0</v>
      </c>
      <c r="AV15" s="24" t="s">
        <v>223</v>
      </c>
      <c r="AW15" s="149" t="s">
        <v>223</v>
      </c>
      <c r="AX15" s="150">
        <v>0</v>
      </c>
      <c r="AY15" s="24" t="s">
        <v>223</v>
      </c>
      <c r="AZ15" s="149" t="s">
        <v>223</v>
      </c>
      <c r="BA15" s="150">
        <v>0</v>
      </c>
      <c r="BB15" s="24" t="s">
        <v>223</v>
      </c>
      <c r="BC15" s="149" t="s">
        <v>223</v>
      </c>
      <c r="BD15" s="150">
        <v>0</v>
      </c>
      <c r="BE15" s="24" t="s">
        <v>223</v>
      </c>
      <c r="BF15" s="149" t="s">
        <v>223</v>
      </c>
      <c r="BG15" s="150">
        <v>0</v>
      </c>
      <c r="BH15" s="91" t="s">
        <v>223</v>
      </c>
      <c r="BI15" s="149" t="s">
        <v>223</v>
      </c>
      <c r="BJ15" s="23">
        <v>0</v>
      </c>
      <c r="BK15" s="145" t="s">
        <v>223</v>
      </c>
      <c r="BL15" s="472">
        <v>0</v>
      </c>
      <c r="BM15" s="524">
        <v>0</v>
      </c>
      <c r="BN15" s="285">
        <v>1</v>
      </c>
      <c r="BO15" s="190">
        <v>1</v>
      </c>
      <c r="BP15" s="25">
        <v>2</v>
      </c>
      <c r="BQ15" s="288">
        <v>2</v>
      </c>
      <c r="BR15" s="99"/>
      <c r="BS15" s="109">
        <v>7.3</v>
      </c>
      <c r="BT15" s="109" t="s">
        <v>389</v>
      </c>
      <c r="BU15" s="112">
        <v>6</v>
      </c>
      <c r="BV15" s="112" t="s">
        <v>389</v>
      </c>
      <c r="BW15" s="112">
        <v>6.7</v>
      </c>
      <c r="BX15" s="112" t="s">
        <v>389</v>
      </c>
      <c r="BY15" s="112">
        <v>6</v>
      </c>
      <c r="BZ15" s="112" t="s">
        <v>389</v>
      </c>
      <c r="CA15" s="112">
        <v>5.2</v>
      </c>
      <c r="CB15" s="112" t="s">
        <v>389</v>
      </c>
      <c r="CC15" s="112">
        <v>6.7</v>
      </c>
      <c r="CD15" s="112" t="s">
        <v>389</v>
      </c>
      <c r="CE15" s="112">
        <v>6.9</v>
      </c>
      <c r="CF15" s="112" t="s">
        <v>389</v>
      </c>
      <c r="CG15" s="112">
        <v>6.9</v>
      </c>
      <c r="CH15" s="112" t="s">
        <v>389</v>
      </c>
      <c r="CI15" s="488">
        <v>6.1</v>
      </c>
      <c r="CJ15" s="410" t="s">
        <v>389</v>
      </c>
      <c r="CL15" s="268" t="s">
        <v>223</v>
      </c>
      <c r="CM15" s="119">
        <v>0</v>
      </c>
      <c r="CN15" s="124"/>
      <c r="CO15" s="125"/>
      <c r="CP15" s="126"/>
      <c r="CQ15" s="126"/>
    </row>
    <row r="16" spans="1:95" x14ac:dyDescent="0.25">
      <c r="A16" s="651"/>
      <c r="B16" s="33" t="s">
        <v>33</v>
      </c>
      <c r="C16" s="235">
        <v>136</v>
      </c>
      <c r="D16" s="246">
        <v>0.64406779661016944</v>
      </c>
      <c r="E16" s="24">
        <v>0.78947368421052633</v>
      </c>
      <c r="F16" s="23">
        <v>0</v>
      </c>
      <c r="G16" s="17">
        <v>0.91304347826086951</v>
      </c>
      <c r="H16" s="24">
        <v>0.80373831775700932</v>
      </c>
      <c r="I16" s="23">
        <v>1</v>
      </c>
      <c r="J16" s="59">
        <v>0.77855563743551948</v>
      </c>
      <c r="K16" s="91">
        <v>0.79660600098376788</v>
      </c>
      <c r="L16" s="23">
        <v>0</v>
      </c>
      <c r="M16" s="51">
        <v>1.3028545520214801E-2</v>
      </c>
      <c r="N16" s="60">
        <v>1.51729136926456E-2</v>
      </c>
      <c r="O16" s="52">
        <v>1.24074374465909E-2</v>
      </c>
      <c r="P16" s="43">
        <v>1.4497487945291701E-2</v>
      </c>
      <c r="Q16" s="52">
        <v>7.2624589299320794E-2</v>
      </c>
      <c r="R16" s="43">
        <v>8.5675780232325305E-2</v>
      </c>
      <c r="S16" s="23">
        <v>0</v>
      </c>
      <c r="T16" s="44">
        <v>2.98131196641554E-2</v>
      </c>
      <c r="U16" s="52">
        <v>3.6651692790694301E-2</v>
      </c>
      <c r="V16" s="42">
        <v>8.6206896551724102E-3</v>
      </c>
      <c r="W16" s="60">
        <v>1.7699115044247801E-2</v>
      </c>
      <c r="X16" s="23">
        <v>1</v>
      </c>
      <c r="Y16" s="190">
        <v>1</v>
      </c>
      <c r="Z16" s="311">
        <v>1</v>
      </c>
      <c r="AA16" s="312">
        <v>1</v>
      </c>
      <c r="AB16" s="188">
        <v>11</v>
      </c>
      <c r="AC16" s="187">
        <v>2</v>
      </c>
      <c r="AD16" s="52">
        <v>8.0882352941176475E-2</v>
      </c>
      <c r="AE16" s="408">
        <v>7.1464646464646471</v>
      </c>
      <c r="AF16" s="409">
        <v>7.5000000000000009</v>
      </c>
      <c r="AG16" s="112">
        <v>6.5909090909090908</v>
      </c>
      <c r="AH16" s="112">
        <v>5.833333333333333</v>
      </c>
      <c r="AI16" s="112">
        <v>7.6515151515151514</v>
      </c>
      <c r="AJ16" s="112">
        <v>7.916666666666667</v>
      </c>
      <c r="AK16" s="112">
        <v>7.1969696969696972</v>
      </c>
      <c r="AL16" s="111">
        <v>8.75</v>
      </c>
      <c r="AM16" s="386">
        <v>0.99061032863849763</v>
      </c>
      <c r="AN16" s="208">
        <v>0.54545454545454541</v>
      </c>
      <c r="AO16" s="150">
        <v>0</v>
      </c>
      <c r="AP16" s="150" t="s">
        <v>223</v>
      </c>
      <c r="AQ16" s="149">
        <v>0.27272727272727271</v>
      </c>
      <c r="AR16" s="150">
        <v>0</v>
      </c>
      <c r="AS16" s="24" t="s">
        <v>223</v>
      </c>
      <c r="AT16" s="149">
        <v>0.45454545454545459</v>
      </c>
      <c r="AU16" s="150">
        <v>0</v>
      </c>
      <c r="AV16" s="24" t="s">
        <v>223</v>
      </c>
      <c r="AW16" s="149">
        <v>0.81818181818181812</v>
      </c>
      <c r="AX16" s="150">
        <v>1</v>
      </c>
      <c r="AY16" s="24" t="s">
        <v>223</v>
      </c>
      <c r="AZ16" s="149">
        <v>0.54545454545454541</v>
      </c>
      <c r="BA16" s="150">
        <v>0</v>
      </c>
      <c r="BB16" s="24" t="s">
        <v>223</v>
      </c>
      <c r="BC16" s="149">
        <v>0.81818181818181812</v>
      </c>
      <c r="BD16" s="150">
        <v>1</v>
      </c>
      <c r="BE16" s="24" t="s">
        <v>223</v>
      </c>
      <c r="BF16" s="149">
        <v>0.72727272727272729</v>
      </c>
      <c r="BG16" s="150">
        <v>1</v>
      </c>
      <c r="BH16" s="91" t="s">
        <v>223</v>
      </c>
      <c r="BI16" s="149">
        <v>0.81818181818181812</v>
      </c>
      <c r="BJ16" s="23">
        <v>1</v>
      </c>
      <c r="BK16" s="145" t="s">
        <v>223</v>
      </c>
      <c r="BL16" s="472">
        <v>4</v>
      </c>
      <c r="BM16" s="524">
        <v>0</v>
      </c>
      <c r="BN16" s="285">
        <v>5</v>
      </c>
      <c r="BO16" s="190">
        <v>1</v>
      </c>
      <c r="BP16" s="25">
        <v>2</v>
      </c>
      <c r="BQ16" s="288">
        <v>5</v>
      </c>
      <c r="BR16" s="99"/>
      <c r="BS16" s="109">
        <v>7.2</v>
      </c>
      <c r="BT16" s="109" t="s">
        <v>389</v>
      </c>
      <c r="BU16" s="112">
        <v>5.9</v>
      </c>
      <c r="BV16" s="112" t="s">
        <v>389</v>
      </c>
      <c r="BW16" s="112">
        <v>6.9</v>
      </c>
      <c r="BX16" s="112" t="s">
        <v>389</v>
      </c>
      <c r="BY16" s="112">
        <v>5.7</v>
      </c>
      <c r="BZ16" s="112" t="s">
        <v>389</v>
      </c>
      <c r="CA16" s="112">
        <v>5.4</v>
      </c>
      <c r="CB16" s="112" t="s">
        <v>389</v>
      </c>
      <c r="CC16" s="112">
        <v>6.2</v>
      </c>
      <c r="CD16" s="112" t="s">
        <v>389</v>
      </c>
      <c r="CE16" s="112">
        <v>6.8</v>
      </c>
      <c r="CF16" s="112" t="s">
        <v>389</v>
      </c>
      <c r="CG16" s="112">
        <v>7.1</v>
      </c>
      <c r="CH16" s="112">
        <v>7.2</v>
      </c>
      <c r="CI16" s="488">
        <v>5.9</v>
      </c>
      <c r="CJ16" s="277">
        <v>6.3</v>
      </c>
      <c r="CL16" s="267">
        <v>13</v>
      </c>
      <c r="CM16" s="119">
        <v>11</v>
      </c>
      <c r="CN16" s="124"/>
      <c r="CO16" s="125"/>
      <c r="CP16" s="126"/>
      <c r="CQ16" s="126"/>
    </row>
    <row r="17" spans="1:95" x14ac:dyDescent="0.25">
      <c r="A17" s="651"/>
      <c r="B17" s="33" t="s">
        <v>34</v>
      </c>
      <c r="C17" s="235">
        <v>209</v>
      </c>
      <c r="D17" s="246">
        <v>0.56451612903225812</v>
      </c>
      <c r="E17" s="24">
        <v>0.75568181818181823</v>
      </c>
      <c r="F17" s="23">
        <v>0</v>
      </c>
      <c r="G17" s="17">
        <v>0.88461538461538458</v>
      </c>
      <c r="H17" s="24">
        <v>0.82876712328767121</v>
      </c>
      <c r="I17" s="23">
        <v>0</v>
      </c>
      <c r="J17" s="59">
        <v>0.72456575682382129</v>
      </c>
      <c r="K17" s="91">
        <v>0.79222447073474478</v>
      </c>
      <c r="L17" s="23">
        <v>0</v>
      </c>
      <c r="M17" s="51">
        <v>3.7658995790002701E-3</v>
      </c>
      <c r="N17" s="60">
        <v>2.02348309998087E-2</v>
      </c>
      <c r="O17" s="52">
        <v>3.8622669278967599E-3</v>
      </c>
      <c r="P17" s="43">
        <v>1.25822397679926E-2</v>
      </c>
      <c r="Q17" s="52">
        <v>3.9053841485518298E-2</v>
      </c>
      <c r="R17" s="43">
        <v>8.5823727893105495E-2</v>
      </c>
      <c r="S17" s="23">
        <v>1</v>
      </c>
      <c r="T17" s="44">
        <v>1.4239786629962099E-2</v>
      </c>
      <c r="U17" s="52">
        <v>3.87869683558923E-2</v>
      </c>
      <c r="V17" s="42">
        <v>2.27272727272727E-2</v>
      </c>
      <c r="W17" s="60">
        <v>3.5398230088495602E-2</v>
      </c>
      <c r="X17" s="23">
        <v>1</v>
      </c>
      <c r="Y17" s="190">
        <v>4</v>
      </c>
      <c r="Z17" s="311">
        <v>2</v>
      </c>
      <c r="AA17" s="312">
        <v>1</v>
      </c>
      <c r="AB17" s="188">
        <v>22</v>
      </c>
      <c r="AC17" s="187">
        <v>2</v>
      </c>
      <c r="AD17" s="52">
        <v>0.10526315789473684</v>
      </c>
      <c r="AE17" s="408">
        <v>7.4873737373737379</v>
      </c>
      <c r="AF17" s="409">
        <v>8.3333333333333339</v>
      </c>
      <c r="AG17" s="112">
        <v>6.5909090909090908</v>
      </c>
      <c r="AH17" s="112">
        <v>7.916666666666667</v>
      </c>
      <c r="AI17" s="112">
        <v>7.916666666666667</v>
      </c>
      <c r="AJ17" s="112">
        <v>8.75</v>
      </c>
      <c r="AK17" s="112">
        <v>7.9545454545454541</v>
      </c>
      <c r="AL17" s="271">
        <v>8.3333333333333339</v>
      </c>
      <c r="AM17" s="386">
        <v>0.90322580645161288</v>
      </c>
      <c r="AN17" s="60">
        <v>0.59090909090909083</v>
      </c>
      <c r="AO17" s="23">
        <v>0</v>
      </c>
      <c r="AP17" s="52" t="s">
        <v>223</v>
      </c>
      <c r="AQ17" s="43">
        <v>0.59090909090909083</v>
      </c>
      <c r="AR17" s="23">
        <v>0</v>
      </c>
      <c r="AS17" s="24" t="s">
        <v>223</v>
      </c>
      <c r="AT17" s="43">
        <v>0.63636363636363635</v>
      </c>
      <c r="AU17" s="23">
        <v>0</v>
      </c>
      <c r="AV17" s="24" t="s">
        <v>223</v>
      </c>
      <c r="AW17" s="43">
        <v>0.54545454545454541</v>
      </c>
      <c r="AX17" s="23">
        <v>0</v>
      </c>
      <c r="AY17" s="24" t="s">
        <v>223</v>
      </c>
      <c r="AZ17" s="43">
        <v>0.81818181818181812</v>
      </c>
      <c r="BA17" s="23">
        <v>1</v>
      </c>
      <c r="BB17" s="24" t="s">
        <v>223</v>
      </c>
      <c r="BC17" s="43">
        <v>0.72727272727272729</v>
      </c>
      <c r="BD17" s="23">
        <v>1</v>
      </c>
      <c r="BE17" s="24" t="s">
        <v>223</v>
      </c>
      <c r="BF17" s="43">
        <v>0.86363636363636365</v>
      </c>
      <c r="BG17" s="23">
        <v>1</v>
      </c>
      <c r="BH17" s="91" t="s">
        <v>223</v>
      </c>
      <c r="BI17" s="44">
        <v>0.68181818181818177</v>
      </c>
      <c r="BJ17" s="23">
        <v>1</v>
      </c>
      <c r="BK17" s="145" t="s">
        <v>223</v>
      </c>
      <c r="BL17" s="471">
        <v>4</v>
      </c>
      <c r="BM17" s="523">
        <v>0</v>
      </c>
      <c r="BN17" s="285">
        <v>6</v>
      </c>
      <c r="BO17" s="190">
        <v>1</v>
      </c>
      <c r="BP17" s="25">
        <v>8</v>
      </c>
      <c r="BQ17" s="288">
        <v>6</v>
      </c>
      <c r="BR17" s="99"/>
      <c r="BS17" s="109">
        <v>6.8</v>
      </c>
      <c r="BT17" s="109" t="s">
        <v>389</v>
      </c>
      <c r="BU17" s="112">
        <v>5.5</v>
      </c>
      <c r="BV17" s="112" t="s">
        <v>389</v>
      </c>
      <c r="BW17" s="112">
        <v>6.4</v>
      </c>
      <c r="BX17" s="112" t="s">
        <v>389</v>
      </c>
      <c r="BY17" s="112">
        <v>5.0999999999999996</v>
      </c>
      <c r="BZ17" s="112" t="s">
        <v>389</v>
      </c>
      <c r="CA17" s="112">
        <v>5.0999999999999996</v>
      </c>
      <c r="CB17" s="112" t="s">
        <v>389</v>
      </c>
      <c r="CC17" s="112">
        <v>5.5</v>
      </c>
      <c r="CD17" s="112" t="s">
        <v>389</v>
      </c>
      <c r="CE17" s="112">
        <v>6.1</v>
      </c>
      <c r="CF17" s="112" t="s">
        <v>389</v>
      </c>
      <c r="CG17" s="112">
        <v>6.5</v>
      </c>
      <c r="CH17" s="112">
        <v>7.2</v>
      </c>
      <c r="CI17" s="488">
        <v>5.2</v>
      </c>
      <c r="CJ17" s="277">
        <v>6.3</v>
      </c>
      <c r="CL17" s="267">
        <v>7</v>
      </c>
      <c r="CM17" s="119">
        <v>3</v>
      </c>
      <c r="CN17" s="124"/>
      <c r="CO17" s="125"/>
      <c r="CP17" s="126"/>
      <c r="CQ17" s="126"/>
    </row>
    <row r="18" spans="1:95" x14ac:dyDescent="0.25">
      <c r="A18" s="651"/>
      <c r="B18" s="33" t="s">
        <v>35</v>
      </c>
      <c r="C18" s="235">
        <v>216</v>
      </c>
      <c r="D18" s="246">
        <v>0.62105263157894741</v>
      </c>
      <c r="E18" s="24">
        <v>0.76288659793814428</v>
      </c>
      <c r="F18" s="23">
        <v>0</v>
      </c>
      <c r="G18" s="17">
        <v>0.86896551724137927</v>
      </c>
      <c r="H18" s="24">
        <v>0.78074866310160429</v>
      </c>
      <c r="I18" s="23">
        <v>0</v>
      </c>
      <c r="J18" s="59">
        <v>0.7450090744101634</v>
      </c>
      <c r="K18" s="91">
        <v>0.77181763051987429</v>
      </c>
      <c r="L18" s="23">
        <v>0</v>
      </c>
      <c r="M18" s="51">
        <v>1.7514515788164702E-2</v>
      </c>
      <c r="N18" s="60">
        <v>1.0953906622316999E-2</v>
      </c>
      <c r="O18" s="52">
        <v>4.6800460043251004E-3</v>
      </c>
      <c r="P18" s="43">
        <v>7.5624373306844902E-3</v>
      </c>
      <c r="Q18" s="52">
        <v>6.1279794194424399E-2</v>
      </c>
      <c r="R18" s="43">
        <v>6.9498859400468904E-2</v>
      </c>
      <c r="S18" s="23">
        <v>0</v>
      </c>
      <c r="T18" s="44">
        <v>2.4380576564765399E-2</v>
      </c>
      <c r="U18" s="52">
        <v>1.9675158602849699E-2</v>
      </c>
      <c r="V18" s="42">
        <v>3.3240997229916899E-2</v>
      </c>
      <c r="W18" s="60">
        <v>1.6574585635359101E-2</v>
      </c>
      <c r="X18" s="23">
        <v>1</v>
      </c>
      <c r="Y18" s="190">
        <v>6</v>
      </c>
      <c r="Z18" s="311">
        <v>1</v>
      </c>
      <c r="AA18" s="312">
        <v>1</v>
      </c>
      <c r="AB18" s="188">
        <v>31</v>
      </c>
      <c r="AC18" s="187">
        <v>2</v>
      </c>
      <c r="AD18" s="52">
        <v>0.14351851851851852</v>
      </c>
      <c r="AE18" s="408">
        <v>6.6039426523297484</v>
      </c>
      <c r="AF18" s="409">
        <v>6.8055555555555562</v>
      </c>
      <c r="AG18" s="112">
        <v>6.075268817204301</v>
      </c>
      <c r="AH18" s="112">
        <v>5.833333333333333</v>
      </c>
      <c r="AI18" s="112">
        <v>6.908602150537634</v>
      </c>
      <c r="AJ18" s="112">
        <v>7.916666666666667</v>
      </c>
      <c r="AK18" s="112">
        <v>6.827956989247312</v>
      </c>
      <c r="AL18" s="271">
        <v>6.666666666666667</v>
      </c>
      <c r="AM18" s="386">
        <v>1</v>
      </c>
      <c r="AN18" s="60">
        <v>0.54838709677419351</v>
      </c>
      <c r="AO18" s="23">
        <v>0</v>
      </c>
      <c r="AP18" s="52" t="s">
        <v>223</v>
      </c>
      <c r="AQ18" s="43">
        <v>0.58064516129032262</v>
      </c>
      <c r="AR18" s="23">
        <v>0</v>
      </c>
      <c r="AS18" s="24" t="s">
        <v>223</v>
      </c>
      <c r="AT18" s="43">
        <v>0.54838709677419351</v>
      </c>
      <c r="AU18" s="23">
        <v>0</v>
      </c>
      <c r="AV18" s="24" t="s">
        <v>223</v>
      </c>
      <c r="AW18" s="43">
        <v>0.70967741935483875</v>
      </c>
      <c r="AX18" s="23">
        <v>1</v>
      </c>
      <c r="AY18" s="24" t="s">
        <v>223</v>
      </c>
      <c r="AZ18" s="43">
        <v>0.64516129032258063</v>
      </c>
      <c r="BA18" s="23">
        <v>0</v>
      </c>
      <c r="BB18" s="24" t="s">
        <v>223</v>
      </c>
      <c r="BC18" s="43">
        <v>0.74193548387096775</v>
      </c>
      <c r="BD18" s="23">
        <v>1</v>
      </c>
      <c r="BE18" s="24" t="s">
        <v>223</v>
      </c>
      <c r="BF18" s="43">
        <v>0.77419354838709675</v>
      </c>
      <c r="BG18" s="23">
        <v>1</v>
      </c>
      <c r="BH18" s="91" t="s">
        <v>223</v>
      </c>
      <c r="BI18" s="44">
        <v>0.58064516129032251</v>
      </c>
      <c r="BJ18" s="23">
        <v>0</v>
      </c>
      <c r="BK18" s="145" t="s">
        <v>223</v>
      </c>
      <c r="BL18" s="471">
        <v>3</v>
      </c>
      <c r="BM18" s="523">
        <v>0</v>
      </c>
      <c r="BN18" s="285">
        <v>4</v>
      </c>
      <c r="BO18" s="190">
        <v>1</v>
      </c>
      <c r="BP18" s="25">
        <v>5</v>
      </c>
      <c r="BQ18" s="288">
        <v>3</v>
      </c>
      <c r="BR18" s="99"/>
      <c r="BS18" s="109">
        <v>7.4</v>
      </c>
      <c r="BT18" s="109" t="s">
        <v>389</v>
      </c>
      <c r="BU18" s="112">
        <v>6.1</v>
      </c>
      <c r="BV18" s="112" t="s">
        <v>389</v>
      </c>
      <c r="BW18" s="112">
        <v>6.8</v>
      </c>
      <c r="BX18" s="112" t="s">
        <v>389</v>
      </c>
      <c r="BY18" s="112">
        <v>5.8</v>
      </c>
      <c r="BZ18" s="112" t="s">
        <v>389</v>
      </c>
      <c r="CA18" s="112">
        <v>5.3</v>
      </c>
      <c r="CB18" s="112" t="s">
        <v>389</v>
      </c>
      <c r="CC18" s="112">
        <v>5.8</v>
      </c>
      <c r="CD18" s="112" t="s">
        <v>389</v>
      </c>
      <c r="CE18" s="112">
        <v>6.8</v>
      </c>
      <c r="CF18" s="112" t="s">
        <v>389</v>
      </c>
      <c r="CG18" s="112">
        <v>6.9</v>
      </c>
      <c r="CH18" s="112">
        <v>7.1</v>
      </c>
      <c r="CI18" s="488">
        <v>5.8</v>
      </c>
      <c r="CJ18" s="277">
        <v>6.2</v>
      </c>
      <c r="CL18" s="267">
        <v>15</v>
      </c>
      <c r="CM18" s="119">
        <v>13</v>
      </c>
      <c r="CN18" s="124"/>
      <c r="CO18" s="125"/>
      <c r="CP18" s="126"/>
      <c r="CQ18" s="126"/>
    </row>
    <row r="19" spans="1:95" ht="15.75" thickBot="1" x14ac:dyDescent="0.3">
      <c r="A19" s="652"/>
      <c r="B19" s="33" t="s">
        <v>36</v>
      </c>
      <c r="C19" s="235">
        <v>227</v>
      </c>
      <c r="D19" s="246">
        <v>0.5736842105263158</v>
      </c>
      <c r="E19" s="24">
        <v>0.76351351351351349</v>
      </c>
      <c r="F19" s="23">
        <v>0</v>
      </c>
      <c r="G19" s="17">
        <v>0.84507042253521125</v>
      </c>
      <c r="H19" s="24">
        <v>0.7142857142857143</v>
      </c>
      <c r="I19" s="23">
        <v>0</v>
      </c>
      <c r="J19" s="59">
        <v>0.70937731653076352</v>
      </c>
      <c r="K19" s="91">
        <v>0.73889961389961389</v>
      </c>
      <c r="L19" s="23">
        <v>0</v>
      </c>
      <c r="M19" s="51">
        <v>1.3993806289499099E-2</v>
      </c>
      <c r="N19" s="60">
        <v>5.4526784628528002E-3</v>
      </c>
      <c r="O19" s="52">
        <v>9.2183231202921205E-3</v>
      </c>
      <c r="P19" s="43">
        <v>1.9102376896595798E-2</v>
      </c>
      <c r="Q19" s="52">
        <v>6.2514933010335297E-2</v>
      </c>
      <c r="R19" s="43">
        <v>8.5304664839817204E-2</v>
      </c>
      <c r="S19" s="23">
        <v>0</v>
      </c>
      <c r="T19" s="44">
        <v>2.6496642532267297E-2</v>
      </c>
      <c r="U19" s="52">
        <v>3.2416453481702599E-2</v>
      </c>
      <c r="V19" s="42">
        <v>1.0443864229764999E-2</v>
      </c>
      <c r="W19" s="60">
        <v>2.5889967637540499E-2</v>
      </c>
      <c r="X19" s="23">
        <v>1</v>
      </c>
      <c r="Y19" s="190">
        <v>2</v>
      </c>
      <c r="Z19" s="311">
        <v>1</v>
      </c>
      <c r="AA19" s="312">
        <v>1</v>
      </c>
      <c r="AB19" s="188">
        <v>19</v>
      </c>
      <c r="AC19" s="187">
        <v>0</v>
      </c>
      <c r="AD19" s="52">
        <v>8.3700440528634359E-2</v>
      </c>
      <c r="AE19" s="388">
        <v>6.1111111111111107</v>
      </c>
      <c r="AF19" s="409"/>
      <c r="AG19" s="387">
        <v>5.7456140350877192</v>
      </c>
      <c r="AH19" s="112"/>
      <c r="AI19" s="387">
        <v>5.9210526315789478</v>
      </c>
      <c r="AJ19" s="112"/>
      <c r="AK19" s="387">
        <v>6.666666666666667</v>
      </c>
      <c r="AL19" s="271"/>
      <c r="AM19" s="386">
        <v>1</v>
      </c>
      <c r="AN19" s="263">
        <v>0.52631578947368418</v>
      </c>
      <c r="AO19" s="262">
        <v>0</v>
      </c>
      <c r="AP19" s="225" t="s">
        <v>223</v>
      </c>
      <c r="AQ19" s="261">
        <v>0.57894736842105265</v>
      </c>
      <c r="AR19" s="262">
        <v>0</v>
      </c>
      <c r="AS19" s="225" t="s">
        <v>223</v>
      </c>
      <c r="AT19" s="261">
        <v>0.52631578947368418</v>
      </c>
      <c r="AU19" s="262">
        <v>0</v>
      </c>
      <c r="AV19" s="225" t="s">
        <v>223</v>
      </c>
      <c r="AW19" s="261">
        <v>0.42105263157894735</v>
      </c>
      <c r="AX19" s="262">
        <v>0</v>
      </c>
      <c r="AY19" s="225" t="s">
        <v>223</v>
      </c>
      <c r="AZ19" s="261">
        <v>0.78947368421052633</v>
      </c>
      <c r="BA19" s="262">
        <v>1</v>
      </c>
      <c r="BB19" s="225" t="s">
        <v>223</v>
      </c>
      <c r="BC19" s="261">
        <v>0.47368421052631576</v>
      </c>
      <c r="BD19" s="262">
        <v>0</v>
      </c>
      <c r="BE19" s="225" t="s">
        <v>223</v>
      </c>
      <c r="BF19" s="261">
        <v>0.63157894736842102</v>
      </c>
      <c r="BG19" s="262">
        <v>0</v>
      </c>
      <c r="BH19" s="225" t="s">
        <v>223</v>
      </c>
      <c r="BI19" s="261">
        <v>0.31578947368421051</v>
      </c>
      <c r="BJ19" s="313">
        <v>0</v>
      </c>
      <c r="BK19" s="225" t="s">
        <v>223</v>
      </c>
      <c r="BL19" s="471">
        <v>1</v>
      </c>
      <c r="BM19" s="524">
        <v>0</v>
      </c>
      <c r="BN19" s="285">
        <v>2</v>
      </c>
      <c r="BO19" s="190">
        <v>1</v>
      </c>
      <c r="BP19" s="25">
        <v>5</v>
      </c>
      <c r="BQ19" s="288">
        <v>1</v>
      </c>
      <c r="BR19" s="99"/>
      <c r="BS19" s="109">
        <v>6.8</v>
      </c>
      <c r="BT19" s="109" t="s">
        <v>389</v>
      </c>
      <c r="BU19" s="112">
        <v>5.5</v>
      </c>
      <c r="BV19" s="112" t="s">
        <v>389</v>
      </c>
      <c r="BW19" s="112">
        <v>6.4</v>
      </c>
      <c r="BX19" s="112" t="s">
        <v>389</v>
      </c>
      <c r="BY19" s="112">
        <v>5.0999999999999996</v>
      </c>
      <c r="BZ19" s="112" t="s">
        <v>389</v>
      </c>
      <c r="CA19" s="112">
        <v>5.0999999999999996</v>
      </c>
      <c r="CB19" s="112" t="s">
        <v>389</v>
      </c>
      <c r="CC19" s="112">
        <v>5.5</v>
      </c>
      <c r="CD19" s="112" t="s">
        <v>389</v>
      </c>
      <c r="CE19" s="112">
        <v>6.1</v>
      </c>
      <c r="CF19" s="112" t="s">
        <v>389</v>
      </c>
      <c r="CG19" s="112">
        <v>6.5</v>
      </c>
      <c r="CH19" s="112">
        <v>6.8</v>
      </c>
      <c r="CI19" s="488">
        <v>5.2</v>
      </c>
      <c r="CJ19" s="277">
        <v>6</v>
      </c>
      <c r="CL19" s="267">
        <v>13</v>
      </c>
      <c r="CM19" s="119">
        <v>19</v>
      </c>
      <c r="CN19" s="124"/>
      <c r="CO19" s="125"/>
      <c r="CP19" s="126"/>
      <c r="CQ19" s="126"/>
    </row>
    <row r="20" spans="1:95" ht="15" customHeight="1" x14ac:dyDescent="0.25">
      <c r="A20" s="650" t="s">
        <v>295</v>
      </c>
      <c r="B20" s="33" t="s">
        <v>42</v>
      </c>
      <c r="C20" s="235">
        <v>140</v>
      </c>
      <c r="D20" s="246">
        <v>0.57777777777777772</v>
      </c>
      <c r="E20" s="24">
        <v>0.86363636363636365</v>
      </c>
      <c r="F20" s="23">
        <v>0</v>
      </c>
      <c r="G20" s="17">
        <v>0.66666666666666663</v>
      </c>
      <c r="H20" s="24">
        <v>0.80263157894736847</v>
      </c>
      <c r="I20" s="23">
        <v>0</v>
      </c>
      <c r="J20" s="59">
        <v>0.62222222222222223</v>
      </c>
      <c r="K20" s="91">
        <v>0.83313397129186606</v>
      </c>
      <c r="L20" s="23">
        <v>0</v>
      </c>
      <c r="M20" s="51">
        <v>1.0680850899456701E-2</v>
      </c>
      <c r="N20" s="60">
        <v>2.9335711493182598E-3</v>
      </c>
      <c r="O20" s="52">
        <v>0</v>
      </c>
      <c r="P20" s="43">
        <v>4.2381474957209697E-3</v>
      </c>
      <c r="Q20" s="52">
        <v>3.4665113690008797E-2</v>
      </c>
      <c r="R20" s="43">
        <v>4.5613010653794299E-2</v>
      </c>
      <c r="S20" s="23">
        <v>1</v>
      </c>
      <c r="T20" s="44">
        <v>1.9386871338435599E-2</v>
      </c>
      <c r="U20" s="52">
        <v>1.7846328317974999E-2</v>
      </c>
      <c r="V20" s="42">
        <v>1.18343195266272E-2</v>
      </c>
      <c r="W20" s="60">
        <v>1.20481927710843E-2</v>
      </c>
      <c r="X20" s="23">
        <v>1</v>
      </c>
      <c r="Y20" s="190">
        <v>1</v>
      </c>
      <c r="Z20" s="311">
        <v>2</v>
      </c>
      <c r="AA20" s="312">
        <v>1</v>
      </c>
      <c r="AB20" s="188">
        <v>25</v>
      </c>
      <c r="AC20" s="187">
        <v>3</v>
      </c>
      <c r="AD20" s="52">
        <v>0.17857142857142858</v>
      </c>
      <c r="AE20" s="408">
        <v>6.9777777777777779</v>
      </c>
      <c r="AF20" s="375">
        <v>3.9814814814814818</v>
      </c>
      <c r="AG20" s="375">
        <v>6.9</v>
      </c>
      <c r="AH20" s="376">
        <v>3.8888888888888888</v>
      </c>
      <c r="AI20" s="375">
        <v>6.7333333333333334</v>
      </c>
      <c r="AJ20" s="376">
        <v>3.0555555555555554</v>
      </c>
      <c r="AK20" s="375">
        <v>7.3</v>
      </c>
      <c r="AL20" s="111">
        <v>5</v>
      </c>
      <c r="AM20" s="386">
        <v>0.99411764705882355</v>
      </c>
      <c r="AN20" s="60">
        <v>0.68</v>
      </c>
      <c r="AO20" s="23">
        <v>1</v>
      </c>
      <c r="AP20" s="52" t="s">
        <v>223</v>
      </c>
      <c r="AQ20" s="43">
        <v>0.6</v>
      </c>
      <c r="AR20" s="23">
        <v>0</v>
      </c>
      <c r="AS20" s="24" t="s">
        <v>223</v>
      </c>
      <c r="AT20" s="43">
        <v>0.44000000000000006</v>
      </c>
      <c r="AU20" s="23">
        <v>0</v>
      </c>
      <c r="AV20" s="24" t="s">
        <v>223</v>
      </c>
      <c r="AW20" s="43">
        <v>0.76</v>
      </c>
      <c r="AX20" s="23">
        <v>1</v>
      </c>
      <c r="AY20" s="24" t="s">
        <v>223</v>
      </c>
      <c r="AZ20" s="43">
        <v>0.76</v>
      </c>
      <c r="BA20" s="23">
        <v>1</v>
      </c>
      <c r="BB20" s="24" t="s">
        <v>223</v>
      </c>
      <c r="BC20" s="43">
        <v>0.76</v>
      </c>
      <c r="BD20" s="23">
        <v>1</v>
      </c>
      <c r="BE20" s="24" t="s">
        <v>223</v>
      </c>
      <c r="BF20" s="43">
        <v>0.72</v>
      </c>
      <c r="BG20" s="23">
        <v>1</v>
      </c>
      <c r="BH20" s="91" t="s">
        <v>223</v>
      </c>
      <c r="BI20" s="44">
        <v>0.67999999999999994</v>
      </c>
      <c r="BJ20" s="23">
        <v>1</v>
      </c>
      <c r="BK20" s="145" t="s">
        <v>223</v>
      </c>
      <c r="BL20" s="471">
        <v>6</v>
      </c>
      <c r="BM20" s="523">
        <v>0</v>
      </c>
      <c r="BN20" s="285">
        <v>8</v>
      </c>
      <c r="BO20" s="190">
        <v>1</v>
      </c>
      <c r="BP20" s="25">
        <v>4</v>
      </c>
      <c r="BQ20" s="288">
        <v>7</v>
      </c>
      <c r="BR20" s="99"/>
      <c r="BS20" s="109">
        <v>6.7</v>
      </c>
      <c r="BT20" s="109" t="s">
        <v>389</v>
      </c>
      <c r="BU20" s="110">
        <v>5.0999999999999996</v>
      </c>
      <c r="BV20" s="110" t="s">
        <v>389</v>
      </c>
      <c r="BW20" s="110">
        <v>6.1</v>
      </c>
      <c r="BX20" s="110" t="s">
        <v>389</v>
      </c>
      <c r="BY20" s="110">
        <v>5.3</v>
      </c>
      <c r="BZ20" s="110" t="s">
        <v>389</v>
      </c>
      <c r="CA20" s="110">
        <v>4.8</v>
      </c>
      <c r="CB20" s="110" t="s">
        <v>389</v>
      </c>
      <c r="CC20" s="110">
        <v>5.2</v>
      </c>
      <c r="CD20" s="110" t="s">
        <v>389</v>
      </c>
      <c r="CE20" s="110">
        <v>6</v>
      </c>
      <c r="CF20" s="110" t="s">
        <v>389</v>
      </c>
      <c r="CG20" s="110">
        <v>6.2</v>
      </c>
      <c r="CH20" s="110">
        <v>6.8</v>
      </c>
      <c r="CI20" s="487">
        <v>5.2</v>
      </c>
      <c r="CJ20" s="409">
        <v>6.1</v>
      </c>
      <c r="CL20" s="267">
        <v>34</v>
      </c>
      <c r="CM20" s="119">
        <v>19</v>
      </c>
      <c r="CN20" s="124"/>
      <c r="CO20" s="125"/>
      <c r="CP20" s="126"/>
      <c r="CQ20" s="126"/>
    </row>
    <row r="21" spans="1:95" x14ac:dyDescent="0.25">
      <c r="A21" s="651"/>
      <c r="B21" s="33" t="s">
        <v>43</v>
      </c>
      <c r="C21" s="235">
        <v>344</v>
      </c>
      <c r="D21" s="246">
        <v>0.5852842809364549</v>
      </c>
      <c r="E21" s="24">
        <v>0.80471380471380471</v>
      </c>
      <c r="F21" s="23">
        <v>0</v>
      </c>
      <c r="G21" s="17">
        <v>0.85520361990950222</v>
      </c>
      <c r="H21" s="24">
        <v>0.79930795847750868</v>
      </c>
      <c r="I21" s="23">
        <v>0</v>
      </c>
      <c r="J21" s="59">
        <v>0.72024395042297851</v>
      </c>
      <c r="K21" s="91">
        <v>0.8020108815956567</v>
      </c>
      <c r="L21" s="23">
        <v>0</v>
      </c>
      <c r="M21" s="51">
        <v>2.9395671124294699E-3</v>
      </c>
      <c r="N21" s="60">
        <v>1.2060742943417401E-2</v>
      </c>
      <c r="O21" s="52">
        <v>9.0380930274154801E-3</v>
      </c>
      <c r="P21" s="43">
        <v>1.20181443792826E-2</v>
      </c>
      <c r="Q21" s="52">
        <v>7.1871451543076004E-2</v>
      </c>
      <c r="R21" s="43">
        <v>9.70461624309778E-2</v>
      </c>
      <c r="S21" s="23">
        <v>0</v>
      </c>
      <c r="T21" s="44">
        <v>3.9115879471666698E-2</v>
      </c>
      <c r="U21" s="52">
        <v>3.9320251661511402E-2</v>
      </c>
      <c r="V21" s="42">
        <v>3.12989045383412E-2</v>
      </c>
      <c r="W21" s="60">
        <v>2.80373831775701E-2</v>
      </c>
      <c r="X21" s="23">
        <v>1</v>
      </c>
      <c r="Y21" s="190">
        <v>10</v>
      </c>
      <c r="Z21" s="311">
        <v>1</v>
      </c>
      <c r="AA21" s="312">
        <v>1</v>
      </c>
      <c r="AB21" s="188">
        <v>26</v>
      </c>
      <c r="AC21" s="187">
        <v>3</v>
      </c>
      <c r="AD21" s="52">
        <v>7.5581395348837205E-2</v>
      </c>
      <c r="AE21" s="408">
        <v>6.7521367521367512</v>
      </c>
      <c r="AF21" s="375">
        <v>5.5555555555555554</v>
      </c>
      <c r="AG21" s="375">
        <v>6.8910256410256414</v>
      </c>
      <c r="AH21" s="376">
        <v>5.2777777777777777</v>
      </c>
      <c r="AI21" s="375">
        <v>6.4423076923076925</v>
      </c>
      <c r="AJ21" s="376">
        <v>4.7222222222222223</v>
      </c>
      <c r="AK21" s="375">
        <v>6.9230769230769234</v>
      </c>
      <c r="AL21" s="111">
        <v>6.666666666666667</v>
      </c>
      <c r="AM21" s="386">
        <v>1</v>
      </c>
      <c r="AN21" s="60">
        <v>0.65384615384615374</v>
      </c>
      <c r="AO21" s="23">
        <v>0</v>
      </c>
      <c r="AP21" s="52" t="s">
        <v>223</v>
      </c>
      <c r="AQ21" s="43">
        <v>0.73076923076923073</v>
      </c>
      <c r="AR21" s="23">
        <v>1</v>
      </c>
      <c r="AS21" s="24" t="s">
        <v>223</v>
      </c>
      <c r="AT21" s="43">
        <v>0.53846153846153844</v>
      </c>
      <c r="AU21" s="23">
        <v>0</v>
      </c>
      <c r="AV21" s="24" t="s">
        <v>223</v>
      </c>
      <c r="AW21" s="43">
        <v>0.69230769230769229</v>
      </c>
      <c r="AX21" s="23">
        <v>1</v>
      </c>
      <c r="AY21" s="24" t="s">
        <v>223</v>
      </c>
      <c r="AZ21" s="43">
        <v>0.69230769230769229</v>
      </c>
      <c r="BA21" s="23">
        <v>1</v>
      </c>
      <c r="BB21" s="24" t="s">
        <v>223</v>
      </c>
      <c r="BC21" s="43">
        <v>0.53846153846153855</v>
      </c>
      <c r="BD21" s="23">
        <v>0</v>
      </c>
      <c r="BE21" s="24" t="s">
        <v>223</v>
      </c>
      <c r="BF21" s="43">
        <v>0.69230769230769229</v>
      </c>
      <c r="BG21" s="23">
        <v>1</v>
      </c>
      <c r="BH21" s="91" t="s">
        <v>223</v>
      </c>
      <c r="BI21" s="44">
        <v>0.65384615384615385</v>
      </c>
      <c r="BJ21" s="23">
        <v>0</v>
      </c>
      <c r="BK21" s="145" t="s">
        <v>223</v>
      </c>
      <c r="BL21" s="471">
        <v>4</v>
      </c>
      <c r="BM21" s="523">
        <v>0</v>
      </c>
      <c r="BN21" s="285">
        <v>5</v>
      </c>
      <c r="BO21" s="190">
        <v>1</v>
      </c>
      <c r="BP21" s="25">
        <v>4</v>
      </c>
      <c r="BQ21" s="288">
        <v>1</v>
      </c>
      <c r="BR21" s="99"/>
      <c r="BS21" s="109">
        <v>7.1</v>
      </c>
      <c r="BT21" s="109" t="s">
        <v>389</v>
      </c>
      <c r="BU21" s="112">
        <v>5.6</v>
      </c>
      <c r="BV21" s="112" t="s">
        <v>389</v>
      </c>
      <c r="BW21" s="112">
        <v>6.4</v>
      </c>
      <c r="BX21" s="112" t="s">
        <v>389</v>
      </c>
      <c r="BY21" s="112">
        <v>5.6</v>
      </c>
      <c r="BZ21" s="112" t="s">
        <v>389</v>
      </c>
      <c r="CA21" s="112">
        <v>5.5</v>
      </c>
      <c r="CB21" s="112" t="s">
        <v>389</v>
      </c>
      <c r="CC21" s="112">
        <v>5.8</v>
      </c>
      <c r="CD21" s="112" t="s">
        <v>389</v>
      </c>
      <c r="CE21" s="112">
        <v>6.5</v>
      </c>
      <c r="CF21" s="112" t="s">
        <v>389</v>
      </c>
      <c r="CG21" s="112">
        <v>6.4</v>
      </c>
      <c r="CH21" s="112">
        <v>6.5</v>
      </c>
      <c r="CI21" s="488">
        <v>5.5</v>
      </c>
      <c r="CJ21" s="277">
        <v>5.8</v>
      </c>
      <c r="CL21" s="267">
        <v>7</v>
      </c>
      <c r="CM21" s="119">
        <v>11</v>
      </c>
      <c r="CN21" s="124"/>
      <c r="CO21" s="125"/>
      <c r="CP21" s="126"/>
      <c r="CQ21" s="126"/>
    </row>
    <row r="22" spans="1:95" x14ac:dyDescent="0.25">
      <c r="A22" s="651"/>
      <c r="B22" s="33" t="s">
        <v>44</v>
      </c>
      <c r="C22" s="235">
        <v>110</v>
      </c>
      <c r="D22" s="246">
        <v>0.57777777777777772</v>
      </c>
      <c r="E22" s="24">
        <v>0.7816091954022989</v>
      </c>
      <c r="F22" s="23">
        <v>0</v>
      </c>
      <c r="G22" s="17">
        <v>0.73076923076923073</v>
      </c>
      <c r="H22" s="24">
        <v>0.79452054794520544</v>
      </c>
      <c r="I22" s="23">
        <v>0</v>
      </c>
      <c r="J22" s="59">
        <v>0.65427350427350417</v>
      </c>
      <c r="K22" s="91">
        <v>0.78806487167375217</v>
      </c>
      <c r="L22" s="23">
        <v>0</v>
      </c>
      <c r="M22" s="51">
        <v>4.4208051328385499E-3</v>
      </c>
      <c r="N22" s="60">
        <v>5.89128096715715E-3</v>
      </c>
      <c r="O22" s="52">
        <v>8.9532547602028095E-3</v>
      </c>
      <c r="P22" s="43">
        <v>4.2702523991500702E-3</v>
      </c>
      <c r="Q22" s="52">
        <v>5.5486493363118401E-2</v>
      </c>
      <c r="R22" s="43">
        <v>7.6639118320524002E-2</v>
      </c>
      <c r="S22" s="23">
        <v>0</v>
      </c>
      <c r="T22" s="44">
        <v>2.3875386765113502E-2</v>
      </c>
      <c r="U22" s="52">
        <v>2.4865023203680798E-2</v>
      </c>
      <c r="V22" s="42">
        <v>4.2328042328042298E-2</v>
      </c>
      <c r="W22" s="60">
        <v>3.2786885245901599E-2</v>
      </c>
      <c r="X22" s="23">
        <v>1</v>
      </c>
      <c r="Y22" s="190">
        <v>4</v>
      </c>
      <c r="Z22" s="311">
        <v>1</v>
      </c>
      <c r="AA22" s="312">
        <v>1</v>
      </c>
      <c r="AB22" s="188">
        <v>7</v>
      </c>
      <c r="AC22" s="187">
        <v>1</v>
      </c>
      <c r="AD22" s="52">
        <v>6.363636363636363E-2</v>
      </c>
      <c r="AE22" s="408">
        <v>7.5</v>
      </c>
      <c r="AF22" s="375">
        <v>3.3333333333333335</v>
      </c>
      <c r="AG22" s="375">
        <v>7.2619047619047619</v>
      </c>
      <c r="AH22" s="376">
        <v>2.5</v>
      </c>
      <c r="AI22" s="375">
        <v>7.2619047619047619</v>
      </c>
      <c r="AJ22" s="376">
        <v>5</v>
      </c>
      <c r="AK22" s="375">
        <v>7.9761904761904763</v>
      </c>
      <c r="AL22" s="111">
        <v>2.5</v>
      </c>
      <c r="AM22" s="386">
        <v>1</v>
      </c>
      <c r="AN22" s="208">
        <v>0.71428571428571419</v>
      </c>
      <c r="AO22" s="150">
        <v>1</v>
      </c>
      <c r="AP22" s="150" t="s">
        <v>223</v>
      </c>
      <c r="AQ22" s="149">
        <v>0.85714285714285721</v>
      </c>
      <c r="AR22" s="150">
        <v>1</v>
      </c>
      <c r="AS22" s="24" t="s">
        <v>223</v>
      </c>
      <c r="AT22" s="149">
        <v>0.5714285714285714</v>
      </c>
      <c r="AU22" s="150">
        <v>0</v>
      </c>
      <c r="AV22" s="24" t="s">
        <v>223</v>
      </c>
      <c r="AW22" s="149">
        <v>0.7142857142857143</v>
      </c>
      <c r="AX22" s="150">
        <v>1</v>
      </c>
      <c r="AY22" s="24" t="s">
        <v>223</v>
      </c>
      <c r="AZ22" s="149">
        <v>0.8571428571428571</v>
      </c>
      <c r="BA22" s="150">
        <v>1</v>
      </c>
      <c r="BB22" s="24" t="s">
        <v>223</v>
      </c>
      <c r="BC22" s="149">
        <v>1</v>
      </c>
      <c r="BD22" s="150">
        <v>1</v>
      </c>
      <c r="BE22" s="24" t="s">
        <v>223</v>
      </c>
      <c r="BF22" s="149">
        <v>0.7142857142857143</v>
      </c>
      <c r="BG22" s="150">
        <v>1</v>
      </c>
      <c r="BH22" s="91" t="s">
        <v>223</v>
      </c>
      <c r="BI22" s="149">
        <v>0.8571428571428571</v>
      </c>
      <c r="BJ22" s="23">
        <v>1</v>
      </c>
      <c r="BK22" s="145" t="s">
        <v>223</v>
      </c>
      <c r="BL22" s="472">
        <v>7</v>
      </c>
      <c r="BM22" s="524">
        <v>0</v>
      </c>
      <c r="BN22" s="285">
        <v>8</v>
      </c>
      <c r="BO22" s="190">
        <v>1</v>
      </c>
      <c r="BP22" s="25">
        <v>1</v>
      </c>
      <c r="BQ22" s="288">
        <v>1</v>
      </c>
      <c r="BR22" s="99"/>
      <c r="BS22" s="116">
        <v>6.9</v>
      </c>
      <c r="BT22" s="116" t="s">
        <v>389</v>
      </c>
      <c r="BU22" s="112">
        <v>5.3</v>
      </c>
      <c r="BV22" s="112" t="s">
        <v>389</v>
      </c>
      <c r="BW22" s="112">
        <v>6.4</v>
      </c>
      <c r="BX22" s="112" t="s">
        <v>389</v>
      </c>
      <c r="BY22" s="112">
        <v>5.3</v>
      </c>
      <c r="BZ22" s="112" t="s">
        <v>389</v>
      </c>
      <c r="CA22" s="112">
        <v>5.0999999999999996</v>
      </c>
      <c r="CB22" s="112" t="s">
        <v>389</v>
      </c>
      <c r="CC22" s="112">
        <v>5.7</v>
      </c>
      <c r="CD22" s="112" t="s">
        <v>389</v>
      </c>
      <c r="CE22" s="112">
        <v>6.3</v>
      </c>
      <c r="CF22" s="112" t="s">
        <v>389</v>
      </c>
      <c r="CG22" s="112">
        <v>6.5</v>
      </c>
      <c r="CH22" s="112">
        <v>7</v>
      </c>
      <c r="CI22" s="488">
        <v>5.2</v>
      </c>
      <c r="CJ22" s="277">
        <v>6</v>
      </c>
      <c r="CL22" s="267">
        <v>13</v>
      </c>
      <c r="CM22" s="119">
        <v>8</v>
      </c>
      <c r="CN22" s="124"/>
      <c r="CO22" s="125"/>
      <c r="CP22" s="126"/>
      <c r="CQ22" s="126"/>
    </row>
    <row r="23" spans="1:95" x14ac:dyDescent="0.25">
      <c r="A23" s="651"/>
      <c r="B23" s="33" t="s">
        <v>45</v>
      </c>
      <c r="C23" s="235">
        <v>306</v>
      </c>
      <c r="D23" s="246">
        <v>0.37728937728937728</v>
      </c>
      <c r="E23" s="24">
        <v>0.75563909774436089</v>
      </c>
      <c r="F23" s="23">
        <v>0</v>
      </c>
      <c r="G23" s="17">
        <v>0.74248927038626611</v>
      </c>
      <c r="H23" s="24">
        <v>0.77862595419847325</v>
      </c>
      <c r="I23" s="23">
        <v>0</v>
      </c>
      <c r="J23" s="59">
        <v>0.55988932383782175</v>
      </c>
      <c r="K23" s="91">
        <v>0.76713252597141701</v>
      </c>
      <c r="L23" s="23">
        <v>0</v>
      </c>
      <c r="M23" s="51">
        <v>8.8826511300959306E-3</v>
      </c>
      <c r="N23" s="60">
        <v>2.06477317299078E-2</v>
      </c>
      <c r="O23" s="52">
        <v>4.5214135571861004E-3</v>
      </c>
      <c r="P23" s="43">
        <v>9.4059293029051198E-3</v>
      </c>
      <c r="Q23" s="52">
        <v>5.9927093176320799E-2</v>
      </c>
      <c r="R23" s="43">
        <v>8.0577377437634698E-2</v>
      </c>
      <c r="S23" s="23">
        <v>0</v>
      </c>
      <c r="T23" s="44">
        <v>2.1755623440723099E-2</v>
      </c>
      <c r="U23" s="52">
        <v>2.7799985865097999E-2</v>
      </c>
      <c r="V23" s="42">
        <v>3.54609929078014E-2</v>
      </c>
      <c r="W23" s="60">
        <v>2.1390374331550801E-2</v>
      </c>
      <c r="X23" s="23">
        <v>1</v>
      </c>
      <c r="Y23" s="190">
        <v>10</v>
      </c>
      <c r="Z23" s="311">
        <v>1</v>
      </c>
      <c r="AA23" s="312">
        <v>1</v>
      </c>
      <c r="AB23" s="188">
        <v>28</v>
      </c>
      <c r="AC23" s="187">
        <v>3</v>
      </c>
      <c r="AD23" s="52">
        <v>9.1503267973856203E-2</v>
      </c>
      <c r="AE23" s="408">
        <v>6.17063492063492</v>
      </c>
      <c r="AF23" s="375">
        <v>7.2222222222222223</v>
      </c>
      <c r="AG23" s="375">
        <v>5.8928571428571432</v>
      </c>
      <c r="AH23" s="375">
        <v>6.3888888888888893</v>
      </c>
      <c r="AI23" s="375">
        <v>5.5952380952380949</v>
      </c>
      <c r="AJ23" s="375">
        <v>6.9444444444444446</v>
      </c>
      <c r="AK23" s="375">
        <v>7.0238095238095237</v>
      </c>
      <c r="AL23" s="271">
        <v>8.3333333333333339</v>
      </c>
      <c r="AM23" s="386">
        <v>1</v>
      </c>
      <c r="AN23" s="60">
        <v>0.4285714285714286</v>
      </c>
      <c r="AO23" s="23">
        <v>0</v>
      </c>
      <c r="AP23" s="52" t="s">
        <v>223</v>
      </c>
      <c r="AQ23" s="43">
        <v>0.4642857142857143</v>
      </c>
      <c r="AR23" s="23">
        <v>0</v>
      </c>
      <c r="AS23" s="24" t="s">
        <v>223</v>
      </c>
      <c r="AT23" s="43">
        <v>0.5357142857142857</v>
      </c>
      <c r="AU23" s="23">
        <v>0</v>
      </c>
      <c r="AV23" s="24" t="s">
        <v>223</v>
      </c>
      <c r="AW23" s="43">
        <v>0.6071428571428571</v>
      </c>
      <c r="AX23" s="23">
        <v>0</v>
      </c>
      <c r="AY23" s="24" t="s">
        <v>223</v>
      </c>
      <c r="AZ23" s="43">
        <v>0.5357142857142857</v>
      </c>
      <c r="BA23" s="23">
        <v>0</v>
      </c>
      <c r="BB23" s="24" t="s">
        <v>223</v>
      </c>
      <c r="BC23" s="43">
        <v>0.6428571428571429</v>
      </c>
      <c r="BD23" s="23">
        <v>0</v>
      </c>
      <c r="BE23" s="24" t="s">
        <v>223</v>
      </c>
      <c r="BF23" s="43">
        <v>0.4642857142857143</v>
      </c>
      <c r="BG23" s="23">
        <v>0</v>
      </c>
      <c r="BH23" s="91" t="s">
        <v>223</v>
      </c>
      <c r="BI23" s="44">
        <v>0.42857142857142855</v>
      </c>
      <c r="BJ23" s="23">
        <v>0</v>
      </c>
      <c r="BK23" s="145" t="s">
        <v>223</v>
      </c>
      <c r="BL23" s="471">
        <v>0</v>
      </c>
      <c r="BM23" s="523">
        <v>0</v>
      </c>
      <c r="BN23" s="285">
        <v>1</v>
      </c>
      <c r="BO23" s="190">
        <v>1</v>
      </c>
      <c r="BP23" s="25">
        <v>1</v>
      </c>
      <c r="BQ23" s="288">
        <v>4</v>
      </c>
      <c r="BR23" s="99"/>
      <c r="BS23" s="109">
        <v>6.7</v>
      </c>
      <c r="BT23" s="109" t="s">
        <v>389</v>
      </c>
      <c r="BU23" s="112">
        <v>5.2</v>
      </c>
      <c r="BV23" s="112" t="s">
        <v>389</v>
      </c>
      <c r="BW23" s="112">
        <v>6.4</v>
      </c>
      <c r="BX23" s="112" t="s">
        <v>389</v>
      </c>
      <c r="BY23" s="112">
        <v>5.0999999999999996</v>
      </c>
      <c r="BZ23" s="112" t="s">
        <v>389</v>
      </c>
      <c r="CA23" s="112">
        <v>5.2</v>
      </c>
      <c r="CB23" s="112" t="s">
        <v>389</v>
      </c>
      <c r="CC23" s="112">
        <v>5.7</v>
      </c>
      <c r="CD23" s="112" t="s">
        <v>389</v>
      </c>
      <c r="CE23" s="112">
        <v>6.2</v>
      </c>
      <c r="CF23" s="112" t="s">
        <v>389</v>
      </c>
      <c r="CG23" s="112">
        <v>6.4</v>
      </c>
      <c r="CH23" s="112">
        <v>6.5</v>
      </c>
      <c r="CI23" s="488">
        <v>5.5</v>
      </c>
      <c r="CJ23" s="277">
        <v>5.8</v>
      </c>
      <c r="CL23" s="267">
        <v>31</v>
      </c>
      <c r="CM23" s="119">
        <v>23</v>
      </c>
      <c r="CN23" s="124"/>
      <c r="CO23" s="125"/>
      <c r="CP23" s="126"/>
      <c r="CQ23" s="126"/>
    </row>
    <row r="24" spans="1:95" x14ac:dyDescent="0.25">
      <c r="A24" s="651"/>
      <c r="B24" s="33" t="s">
        <v>46</v>
      </c>
      <c r="C24" s="235">
        <v>52</v>
      </c>
      <c r="D24" s="246">
        <v>0.7021276595744681</v>
      </c>
      <c r="E24" s="24">
        <v>0.8867924528301887</v>
      </c>
      <c r="F24" s="23">
        <v>0</v>
      </c>
      <c r="G24" s="17">
        <v>0.93333333333333335</v>
      </c>
      <c r="H24" s="24">
        <v>0.73469387755102045</v>
      </c>
      <c r="I24" s="23">
        <v>1</v>
      </c>
      <c r="J24" s="59">
        <v>0.81773049645390072</v>
      </c>
      <c r="K24" s="91">
        <v>0.81074316519060452</v>
      </c>
      <c r="L24" s="23">
        <v>0</v>
      </c>
      <c r="M24" s="51">
        <v>4.5222291916210203E-3</v>
      </c>
      <c r="N24" s="60">
        <v>1.16671759844231E-2</v>
      </c>
      <c r="O24" s="52">
        <v>5.0811563950797995E-4</v>
      </c>
      <c r="P24" s="43">
        <v>3.4524179003723701E-3</v>
      </c>
      <c r="Q24" s="52">
        <v>3.63810772481932E-2</v>
      </c>
      <c r="R24" s="43">
        <v>3.7391999292455298E-2</v>
      </c>
      <c r="S24" s="23">
        <v>1</v>
      </c>
      <c r="T24" s="44">
        <v>1.11785440691756E-2</v>
      </c>
      <c r="U24" s="52">
        <v>1.62365660566514E-2</v>
      </c>
      <c r="V24" s="42">
        <v>4.4444444444444398E-2</v>
      </c>
      <c r="W24" s="60">
        <v>4.3010752688172102E-2</v>
      </c>
      <c r="X24" s="23">
        <v>1</v>
      </c>
      <c r="Y24" s="190">
        <v>2</v>
      </c>
      <c r="Z24" s="311">
        <v>2</v>
      </c>
      <c r="AA24" s="312">
        <v>2</v>
      </c>
      <c r="AB24" s="188">
        <v>3</v>
      </c>
      <c r="AC24" s="187">
        <v>1</v>
      </c>
      <c r="AD24" s="52">
        <v>5.7692307692307696E-2</v>
      </c>
      <c r="AE24" s="408">
        <v>7.8703703703703702</v>
      </c>
      <c r="AF24" s="375">
        <v>5.833333333333333</v>
      </c>
      <c r="AG24" s="375">
        <v>8.0555555555555554</v>
      </c>
      <c r="AH24" s="375">
        <v>5.833333333333333</v>
      </c>
      <c r="AI24" s="375">
        <v>7.5</v>
      </c>
      <c r="AJ24" s="375">
        <v>5</v>
      </c>
      <c r="AK24" s="375">
        <v>8.0555555555555554</v>
      </c>
      <c r="AL24" s="271">
        <v>6.666666666666667</v>
      </c>
      <c r="AM24" s="386">
        <v>1</v>
      </c>
      <c r="AN24" s="208" t="s">
        <v>223</v>
      </c>
      <c r="AO24" s="150">
        <v>0</v>
      </c>
      <c r="AP24" s="150" t="s">
        <v>223</v>
      </c>
      <c r="AQ24" s="149" t="s">
        <v>223</v>
      </c>
      <c r="AR24" s="150">
        <v>0</v>
      </c>
      <c r="AS24" s="24" t="s">
        <v>223</v>
      </c>
      <c r="AT24" s="149" t="s">
        <v>223</v>
      </c>
      <c r="AU24" s="150">
        <v>0</v>
      </c>
      <c r="AV24" s="24" t="s">
        <v>223</v>
      </c>
      <c r="AW24" s="149" t="s">
        <v>223</v>
      </c>
      <c r="AX24" s="150">
        <v>0</v>
      </c>
      <c r="AY24" s="24" t="s">
        <v>223</v>
      </c>
      <c r="AZ24" s="149" t="s">
        <v>223</v>
      </c>
      <c r="BA24" s="150">
        <v>0</v>
      </c>
      <c r="BB24" s="24" t="s">
        <v>223</v>
      </c>
      <c r="BC24" s="149" t="s">
        <v>223</v>
      </c>
      <c r="BD24" s="150">
        <v>0</v>
      </c>
      <c r="BE24" s="24" t="s">
        <v>223</v>
      </c>
      <c r="BF24" s="149" t="s">
        <v>223</v>
      </c>
      <c r="BG24" s="150">
        <v>0</v>
      </c>
      <c r="BH24" s="91" t="s">
        <v>223</v>
      </c>
      <c r="BI24" s="149" t="s">
        <v>223</v>
      </c>
      <c r="BJ24" s="23">
        <v>0</v>
      </c>
      <c r="BK24" s="145" t="s">
        <v>223</v>
      </c>
      <c r="BL24" s="472">
        <v>0</v>
      </c>
      <c r="BM24" s="524">
        <v>0</v>
      </c>
      <c r="BN24" s="285">
        <v>2</v>
      </c>
      <c r="BO24" s="190">
        <v>2</v>
      </c>
      <c r="BP24" s="25">
        <v>2</v>
      </c>
      <c r="BQ24" s="288">
        <v>3</v>
      </c>
      <c r="BR24" s="99"/>
      <c r="BS24" s="109">
        <v>7.5</v>
      </c>
      <c r="BT24" s="109" t="s">
        <v>389</v>
      </c>
      <c r="BU24" s="112">
        <v>6.2</v>
      </c>
      <c r="BV24" s="112" t="s">
        <v>389</v>
      </c>
      <c r="BW24" s="112">
        <v>7</v>
      </c>
      <c r="BX24" s="112" t="s">
        <v>389</v>
      </c>
      <c r="BY24" s="112">
        <v>6.4</v>
      </c>
      <c r="BZ24" s="112" t="s">
        <v>389</v>
      </c>
      <c r="CA24" s="112">
        <v>5.6</v>
      </c>
      <c r="CB24" s="112" t="s">
        <v>389</v>
      </c>
      <c r="CC24" s="112">
        <v>6.5</v>
      </c>
      <c r="CD24" s="112" t="s">
        <v>389</v>
      </c>
      <c r="CE24" s="112">
        <v>6.8</v>
      </c>
      <c r="CF24" s="112" t="s">
        <v>389</v>
      </c>
      <c r="CG24" s="112">
        <v>7.1</v>
      </c>
      <c r="CH24" s="112">
        <v>7.3</v>
      </c>
      <c r="CI24" s="488">
        <v>6.2</v>
      </c>
      <c r="CJ24" s="277">
        <v>6.6</v>
      </c>
      <c r="CL24" s="267">
        <v>2</v>
      </c>
      <c r="CM24" s="119">
        <v>0</v>
      </c>
      <c r="CN24" s="124"/>
      <c r="CO24" s="125"/>
      <c r="CP24" s="126"/>
      <c r="CQ24" s="126"/>
    </row>
    <row r="25" spans="1:95" x14ac:dyDescent="0.25">
      <c r="A25" s="651"/>
      <c r="B25" s="33" t="s">
        <v>47</v>
      </c>
      <c r="C25" s="235">
        <v>46</v>
      </c>
      <c r="D25" s="246">
        <v>0.8</v>
      </c>
      <c r="E25" s="24">
        <v>0.84444444444444444</v>
      </c>
      <c r="F25" s="23">
        <v>0</v>
      </c>
      <c r="G25" s="17">
        <v>0.91428571428571426</v>
      </c>
      <c r="H25" s="24">
        <v>0.84782608695652173</v>
      </c>
      <c r="I25" s="23">
        <v>1</v>
      </c>
      <c r="J25" s="59">
        <v>0.85714285714285721</v>
      </c>
      <c r="K25" s="91">
        <v>0.84613526570048303</v>
      </c>
      <c r="L25" s="23">
        <v>0</v>
      </c>
      <c r="M25" s="51">
        <v>2.50572310916718E-4</v>
      </c>
      <c r="N25" s="60">
        <v>1.5028879683059999E-2</v>
      </c>
      <c r="O25" s="52">
        <v>6.4647280358046998E-3</v>
      </c>
      <c r="P25" s="43">
        <v>4.5921368074909796E-3</v>
      </c>
      <c r="Q25" s="52">
        <v>3.5360729436443798E-2</v>
      </c>
      <c r="R25" s="43">
        <v>6.33851141276216E-2</v>
      </c>
      <c r="S25" s="23">
        <v>1</v>
      </c>
      <c r="T25" s="44">
        <v>6.4647280358046998E-3</v>
      </c>
      <c r="U25" s="52">
        <v>2.5048132805099897E-2</v>
      </c>
      <c r="V25" s="42">
        <v>0</v>
      </c>
      <c r="W25" s="60">
        <v>0</v>
      </c>
      <c r="X25" s="23">
        <v>1</v>
      </c>
      <c r="Y25" s="190">
        <v>0</v>
      </c>
      <c r="Z25" s="311">
        <v>2</v>
      </c>
      <c r="AA25" s="312">
        <v>1</v>
      </c>
      <c r="AB25" s="188">
        <v>4</v>
      </c>
      <c r="AC25" s="187">
        <v>0</v>
      </c>
      <c r="AD25" s="52">
        <v>8.6956521739130432E-2</v>
      </c>
      <c r="AE25" s="388">
        <v>7.1527777777777786</v>
      </c>
      <c r="AF25" s="375"/>
      <c r="AG25" s="387">
        <v>6.666666666666667</v>
      </c>
      <c r="AH25" s="375"/>
      <c r="AI25" s="387">
        <v>6.458333333333333</v>
      </c>
      <c r="AJ25" s="375"/>
      <c r="AK25" s="387">
        <v>8.3333333333333339</v>
      </c>
      <c r="AL25" s="271"/>
      <c r="AM25" s="386">
        <v>1</v>
      </c>
      <c r="AN25" s="208" t="s">
        <v>223</v>
      </c>
      <c r="AO25" s="150">
        <v>0</v>
      </c>
      <c r="AP25" s="150" t="s">
        <v>223</v>
      </c>
      <c r="AQ25" s="149" t="s">
        <v>223</v>
      </c>
      <c r="AR25" s="150">
        <v>0</v>
      </c>
      <c r="AS25" s="24" t="s">
        <v>223</v>
      </c>
      <c r="AT25" s="149" t="s">
        <v>223</v>
      </c>
      <c r="AU25" s="150">
        <v>0</v>
      </c>
      <c r="AV25" s="24" t="s">
        <v>223</v>
      </c>
      <c r="AW25" s="149" t="s">
        <v>223</v>
      </c>
      <c r="AX25" s="150">
        <v>0</v>
      </c>
      <c r="AY25" s="24" t="s">
        <v>223</v>
      </c>
      <c r="AZ25" s="149" t="s">
        <v>223</v>
      </c>
      <c r="BA25" s="150">
        <v>0</v>
      </c>
      <c r="BB25" s="24" t="s">
        <v>223</v>
      </c>
      <c r="BC25" s="149" t="s">
        <v>223</v>
      </c>
      <c r="BD25" s="150">
        <v>0</v>
      </c>
      <c r="BE25" s="24" t="s">
        <v>223</v>
      </c>
      <c r="BF25" s="149" t="s">
        <v>223</v>
      </c>
      <c r="BG25" s="150">
        <v>0</v>
      </c>
      <c r="BH25" s="91" t="s">
        <v>223</v>
      </c>
      <c r="BI25" s="149" t="s">
        <v>223</v>
      </c>
      <c r="BJ25" s="23">
        <v>0</v>
      </c>
      <c r="BK25" s="145" t="s">
        <v>223</v>
      </c>
      <c r="BL25" s="472">
        <v>0</v>
      </c>
      <c r="BM25" s="524">
        <v>0</v>
      </c>
      <c r="BN25" s="285">
        <v>2</v>
      </c>
      <c r="BO25" s="190">
        <v>1</v>
      </c>
      <c r="BP25" s="25">
        <v>3</v>
      </c>
      <c r="BQ25" s="288">
        <v>3</v>
      </c>
      <c r="BR25" s="99"/>
      <c r="BS25" s="117">
        <v>7.2</v>
      </c>
      <c r="BT25" s="117" t="s">
        <v>389</v>
      </c>
      <c r="BU25" s="112">
        <v>5.7</v>
      </c>
      <c r="BV25" s="112" t="s">
        <v>389</v>
      </c>
      <c r="BW25" s="112">
        <v>6.7</v>
      </c>
      <c r="BX25" s="112" t="s">
        <v>389</v>
      </c>
      <c r="BY25" s="112">
        <v>5.9</v>
      </c>
      <c r="BZ25" s="112" t="s">
        <v>389</v>
      </c>
      <c r="CA25" s="112">
        <v>5.2</v>
      </c>
      <c r="CB25" s="112" t="s">
        <v>389</v>
      </c>
      <c r="CC25" s="112">
        <v>5.4</v>
      </c>
      <c r="CD25" s="112" t="s">
        <v>389</v>
      </c>
      <c r="CE25" s="112">
        <v>6.3</v>
      </c>
      <c r="CF25" s="112" t="s">
        <v>389</v>
      </c>
      <c r="CG25" s="112">
        <v>6.9</v>
      </c>
      <c r="CH25" s="112">
        <v>6.8</v>
      </c>
      <c r="CI25" s="488">
        <v>5.9</v>
      </c>
      <c r="CJ25" s="277">
        <v>5.8</v>
      </c>
      <c r="CL25" s="267">
        <v>4</v>
      </c>
      <c r="CM25" s="119">
        <v>9</v>
      </c>
      <c r="CN25" s="124"/>
      <c r="CO25" s="125"/>
      <c r="CP25" s="126"/>
      <c r="CQ25" s="126"/>
    </row>
    <row r="26" spans="1:95" x14ac:dyDescent="0.25">
      <c r="A26" s="651"/>
      <c r="B26" s="33" t="s">
        <v>48</v>
      </c>
      <c r="C26" s="235">
        <v>109</v>
      </c>
      <c r="D26" s="246">
        <v>0.64864864864864868</v>
      </c>
      <c r="E26" s="24">
        <v>0.7432432432432432</v>
      </c>
      <c r="F26" s="23">
        <v>0</v>
      </c>
      <c r="G26" s="17">
        <v>0.96226415094339623</v>
      </c>
      <c r="H26" s="24">
        <v>0.89552238805970152</v>
      </c>
      <c r="I26" s="23">
        <v>1</v>
      </c>
      <c r="J26" s="59">
        <v>0.80545639979602246</v>
      </c>
      <c r="K26" s="91">
        <v>0.81938281565147242</v>
      </c>
      <c r="L26" s="23">
        <v>0</v>
      </c>
      <c r="M26" s="51">
        <v>1.7960305836043699E-2</v>
      </c>
      <c r="N26" s="60">
        <v>5.7453020066692796E-3</v>
      </c>
      <c r="O26" s="52">
        <v>1.7811873556407001E-3</v>
      </c>
      <c r="P26" s="43">
        <v>0</v>
      </c>
      <c r="Q26" s="52">
        <v>4.88396526219173E-2</v>
      </c>
      <c r="R26" s="43">
        <v>7.0167974898258698E-2</v>
      </c>
      <c r="S26" s="23">
        <v>0</v>
      </c>
      <c r="T26" s="44">
        <v>1.9147764073137501E-2</v>
      </c>
      <c r="U26" s="52">
        <v>1.80503353556873E-2</v>
      </c>
      <c r="V26" s="42">
        <v>1.3986013986014E-2</v>
      </c>
      <c r="W26" s="60">
        <v>5.4794520547945202E-2</v>
      </c>
      <c r="X26" s="23">
        <v>1</v>
      </c>
      <c r="Y26" s="190">
        <v>1</v>
      </c>
      <c r="Z26" s="311">
        <v>1</v>
      </c>
      <c r="AA26" s="312">
        <v>1</v>
      </c>
      <c r="AB26" s="188">
        <v>7</v>
      </c>
      <c r="AC26" s="187">
        <v>1</v>
      </c>
      <c r="AD26" s="52">
        <v>6.4220183486238536E-2</v>
      </c>
      <c r="AE26" s="408">
        <v>6.4682539682539675</v>
      </c>
      <c r="AF26" s="375">
        <v>7.2222222222222223</v>
      </c>
      <c r="AG26" s="375">
        <v>6.7857142857142856</v>
      </c>
      <c r="AH26" s="376">
        <v>9.1666666666666661</v>
      </c>
      <c r="AI26" s="375">
        <v>5.9523809523809526</v>
      </c>
      <c r="AJ26" s="376">
        <v>7.5</v>
      </c>
      <c r="AK26" s="375">
        <v>6.666666666666667</v>
      </c>
      <c r="AL26" s="111">
        <v>5</v>
      </c>
      <c r="AM26" s="386">
        <v>0.875</v>
      </c>
      <c r="AN26" s="60">
        <v>0.5714285714285714</v>
      </c>
      <c r="AO26" s="23">
        <v>0</v>
      </c>
      <c r="AP26" s="52" t="s">
        <v>223</v>
      </c>
      <c r="AQ26" s="43">
        <v>0.85714285714285721</v>
      </c>
      <c r="AR26" s="23">
        <v>1</v>
      </c>
      <c r="AS26" s="24" t="s">
        <v>223</v>
      </c>
      <c r="AT26" s="43">
        <v>0.5714285714285714</v>
      </c>
      <c r="AU26" s="23">
        <v>0</v>
      </c>
      <c r="AV26" s="24" t="s">
        <v>223</v>
      </c>
      <c r="AW26" s="43">
        <v>0.71428571428571419</v>
      </c>
      <c r="AX26" s="23">
        <v>1</v>
      </c>
      <c r="AY26" s="24" t="s">
        <v>223</v>
      </c>
      <c r="AZ26" s="43">
        <v>0.71428571428571419</v>
      </c>
      <c r="BA26" s="23">
        <v>1</v>
      </c>
      <c r="BB26" s="24" t="s">
        <v>223</v>
      </c>
      <c r="BC26" s="43">
        <v>0.5714285714285714</v>
      </c>
      <c r="BD26" s="23">
        <v>0</v>
      </c>
      <c r="BE26" s="24" t="s">
        <v>223</v>
      </c>
      <c r="BF26" s="43">
        <v>0.71428571428571419</v>
      </c>
      <c r="BG26" s="23">
        <v>1</v>
      </c>
      <c r="BH26" s="91" t="s">
        <v>223</v>
      </c>
      <c r="BI26" s="44">
        <v>0.71428571428571419</v>
      </c>
      <c r="BJ26" s="23">
        <v>1</v>
      </c>
      <c r="BK26" s="145" t="s">
        <v>223</v>
      </c>
      <c r="BL26" s="471">
        <v>5</v>
      </c>
      <c r="BM26" s="523">
        <v>0</v>
      </c>
      <c r="BN26" s="285">
        <v>6</v>
      </c>
      <c r="BO26" s="190">
        <v>1</v>
      </c>
      <c r="BP26" s="25">
        <v>9</v>
      </c>
      <c r="BQ26" s="288">
        <v>6</v>
      </c>
      <c r="BR26" s="99"/>
      <c r="BS26" s="109">
        <v>7.5</v>
      </c>
      <c r="BT26" s="109" t="s">
        <v>389</v>
      </c>
      <c r="BU26" s="112">
        <v>6.2</v>
      </c>
      <c r="BV26" s="112" t="s">
        <v>389</v>
      </c>
      <c r="BW26" s="112">
        <v>7</v>
      </c>
      <c r="BX26" s="112" t="s">
        <v>389</v>
      </c>
      <c r="BY26" s="112">
        <v>6.4</v>
      </c>
      <c r="BZ26" s="112" t="s">
        <v>389</v>
      </c>
      <c r="CA26" s="112">
        <v>5.6</v>
      </c>
      <c r="CB26" s="112" t="s">
        <v>389</v>
      </c>
      <c r="CC26" s="112">
        <v>6.5</v>
      </c>
      <c r="CD26" s="112" t="s">
        <v>389</v>
      </c>
      <c r="CE26" s="112">
        <v>6.8</v>
      </c>
      <c r="CF26" s="112" t="s">
        <v>389</v>
      </c>
      <c r="CG26" s="112">
        <v>7.1</v>
      </c>
      <c r="CH26" s="112">
        <v>6.1</v>
      </c>
      <c r="CI26" s="488">
        <v>6.2</v>
      </c>
      <c r="CJ26" s="277">
        <v>5.3</v>
      </c>
      <c r="CL26" s="267">
        <v>3</v>
      </c>
      <c r="CM26" s="119">
        <v>6</v>
      </c>
      <c r="CN26" s="124"/>
      <c r="CO26" s="125"/>
      <c r="CP26" s="126"/>
      <c r="CQ26" s="126"/>
    </row>
    <row r="27" spans="1:95" x14ac:dyDescent="0.25">
      <c r="A27" s="651"/>
      <c r="B27" s="33" t="s">
        <v>49</v>
      </c>
      <c r="C27" s="235">
        <v>205</v>
      </c>
      <c r="D27" s="246">
        <v>0.67441860465116277</v>
      </c>
      <c r="E27" s="24">
        <v>0.74809160305343514</v>
      </c>
      <c r="F27" s="23">
        <v>0</v>
      </c>
      <c r="G27" s="17">
        <v>0.88888888888888884</v>
      </c>
      <c r="H27" s="24">
        <v>0.69444444444444442</v>
      </c>
      <c r="I27" s="23">
        <v>0</v>
      </c>
      <c r="J27" s="59">
        <v>0.78165374677002575</v>
      </c>
      <c r="K27" s="91">
        <v>0.72126802374893972</v>
      </c>
      <c r="L27" s="23">
        <v>0</v>
      </c>
      <c r="M27" s="51">
        <v>9.4495702931406706E-3</v>
      </c>
      <c r="N27" s="60">
        <v>1.09008353635356E-2</v>
      </c>
      <c r="O27" s="52">
        <v>5.0949557925667995E-4</v>
      </c>
      <c r="P27" s="43">
        <v>7.6341712117684705E-5</v>
      </c>
      <c r="Q27" s="52">
        <v>3.7631920377875598E-2</v>
      </c>
      <c r="R27" s="43">
        <v>4.3118818165925103E-2</v>
      </c>
      <c r="S27" s="23">
        <v>1</v>
      </c>
      <c r="T27" s="44">
        <v>4.5199420080869902E-3</v>
      </c>
      <c r="U27" s="52">
        <v>1.22070420578691E-2</v>
      </c>
      <c r="V27" s="42">
        <v>4.6511627906976799E-2</v>
      </c>
      <c r="W27" s="60">
        <v>7.8125E-3</v>
      </c>
      <c r="X27" s="23">
        <v>1</v>
      </c>
      <c r="Y27" s="190">
        <v>6</v>
      </c>
      <c r="Z27" s="311">
        <v>2</v>
      </c>
      <c r="AA27" s="312">
        <v>1</v>
      </c>
      <c r="AB27" s="188">
        <v>10</v>
      </c>
      <c r="AC27" s="187">
        <v>1</v>
      </c>
      <c r="AD27" s="52">
        <v>4.878048780487805E-2</v>
      </c>
      <c r="AE27" s="408">
        <v>6.5277777777777777</v>
      </c>
      <c r="AF27" s="375">
        <v>6.9444444444444455</v>
      </c>
      <c r="AG27" s="375">
        <v>5.666666666666667</v>
      </c>
      <c r="AH27" s="375">
        <v>6.666666666666667</v>
      </c>
      <c r="AI27" s="375">
        <v>7.083333333333333</v>
      </c>
      <c r="AJ27" s="375">
        <v>5.833333333333333</v>
      </c>
      <c r="AK27" s="375">
        <v>6.833333333333333</v>
      </c>
      <c r="AL27" s="271">
        <v>8.3333333333333339</v>
      </c>
      <c r="AM27" s="386">
        <v>0.78749999999999998</v>
      </c>
      <c r="AN27" s="208">
        <v>0.3</v>
      </c>
      <c r="AO27" s="150">
        <v>0</v>
      </c>
      <c r="AP27" s="150" t="s">
        <v>223</v>
      </c>
      <c r="AQ27" s="149">
        <v>0.4</v>
      </c>
      <c r="AR27" s="150">
        <v>0</v>
      </c>
      <c r="AS27" s="24" t="s">
        <v>223</v>
      </c>
      <c r="AT27" s="149">
        <v>0.5</v>
      </c>
      <c r="AU27" s="150">
        <v>0</v>
      </c>
      <c r="AV27" s="24" t="s">
        <v>223</v>
      </c>
      <c r="AW27" s="149">
        <v>0.8</v>
      </c>
      <c r="AX27" s="150">
        <v>1</v>
      </c>
      <c r="AY27" s="24" t="s">
        <v>223</v>
      </c>
      <c r="AZ27" s="149">
        <v>0.6</v>
      </c>
      <c r="BA27" s="150">
        <v>0</v>
      </c>
      <c r="BB27" s="24" t="s">
        <v>223</v>
      </c>
      <c r="BC27" s="149">
        <v>0.7</v>
      </c>
      <c r="BD27" s="150">
        <v>1</v>
      </c>
      <c r="BE27" s="24" t="s">
        <v>223</v>
      </c>
      <c r="BF27" s="149">
        <v>0.8</v>
      </c>
      <c r="BG27" s="150">
        <v>1</v>
      </c>
      <c r="BH27" s="91" t="s">
        <v>223</v>
      </c>
      <c r="BI27" s="149">
        <v>0.8</v>
      </c>
      <c r="BJ27" s="23">
        <v>1</v>
      </c>
      <c r="BK27" s="145" t="s">
        <v>223</v>
      </c>
      <c r="BL27" s="471">
        <v>4</v>
      </c>
      <c r="BM27" s="524">
        <v>0</v>
      </c>
      <c r="BN27" s="285">
        <v>6</v>
      </c>
      <c r="BO27" s="190">
        <v>1</v>
      </c>
      <c r="BP27" s="25">
        <v>3</v>
      </c>
      <c r="BQ27" s="288">
        <v>2</v>
      </c>
      <c r="BR27" s="99"/>
      <c r="BS27" s="109">
        <v>6.9</v>
      </c>
      <c r="BT27" s="109" t="s">
        <v>389</v>
      </c>
      <c r="BU27" s="110">
        <v>5.3</v>
      </c>
      <c r="BV27" s="110" t="s">
        <v>389</v>
      </c>
      <c r="BW27" s="110">
        <v>6.4</v>
      </c>
      <c r="BX27" s="110" t="s">
        <v>389</v>
      </c>
      <c r="BY27" s="110">
        <v>5.3</v>
      </c>
      <c r="BZ27" s="110" t="s">
        <v>389</v>
      </c>
      <c r="CA27" s="110">
        <v>5.0999999999999996</v>
      </c>
      <c r="CB27" s="110" t="s">
        <v>389</v>
      </c>
      <c r="CC27" s="110">
        <v>5.7</v>
      </c>
      <c r="CD27" s="110" t="s">
        <v>389</v>
      </c>
      <c r="CE27" s="110">
        <v>6.3</v>
      </c>
      <c r="CF27" s="110" t="s">
        <v>389</v>
      </c>
      <c r="CG27" s="110">
        <v>6.5</v>
      </c>
      <c r="CH27" s="110">
        <v>7</v>
      </c>
      <c r="CI27" s="487">
        <v>5.2</v>
      </c>
      <c r="CJ27" s="409">
        <v>6.5</v>
      </c>
      <c r="CL27" s="267">
        <v>29</v>
      </c>
      <c r="CM27" s="119">
        <v>20</v>
      </c>
      <c r="CN27" s="124"/>
      <c r="CO27" s="125"/>
      <c r="CP27" s="126"/>
      <c r="CQ27" s="126"/>
    </row>
    <row r="28" spans="1:95" x14ac:dyDescent="0.25">
      <c r="A28" s="651"/>
      <c r="B28" s="151" t="s">
        <v>51</v>
      </c>
      <c r="C28" s="235">
        <v>16</v>
      </c>
      <c r="D28" s="246">
        <v>0.75</v>
      </c>
      <c r="E28" s="24">
        <v>0.7857142857142857</v>
      </c>
      <c r="F28" s="23">
        <v>0</v>
      </c>
      <c r="G28" s="17">
        <v>0.83333333333333337</v>
      </c>
      <c r="H28" s="24">
        <v>0.9</v>
      </c>
      <c r="I28" s="23">
        <v>0</v>
      </c>
      <c r="J28" s="59">
        <v>0.79166666666666674</v>
      </c>
      <c r="K28" s="91">
        <v>0.84285714285714286</v>
      </c>
      <c r="L28" s="23">
        <v>0</v>
      </c>
      <c r="M28" s="51">
        <v>0</v>
      </c>
      <c r="N28" s="60">
        <v>0</v>
      </c>
      <c r="O28" s="52">
        <v>0</v>
      </c>
      <c r="P28" s="43">
        <v>0</v>
      </c>
      <c r="Q28" s="52">
        <v>1.14007537688442E-2</v>
      </c>
      <c r="R28" s="43">
        <v>7.3033213188532495E-2</v>
      </c>
      <c r="S28" s="23">
        <v>1</v>
      </c>
      <c r="T28" s="44">
        <v>0</v>
      </c>
      <c r="U28" s="52">
        <v>0</v>
      </c>
      <c r="V28" s="42">
        <v>0</v>
      </c>
      <c r="W28" s="60">
        <v>0</v>
      </c>
      <c r="X28" s="23">
        <v>1</v>
      </c>
      <c r="Y28" s="190">
        <v>0</v>
      </c>
      <c r="Z28" s="311">
        <v>2</v>
      </c>
      <c r="AA28" s="312">
        <v>1</v>
      </c>
      <c r="AB28" s="188">
        <v>2</v>
      </c>
      <c r="AC28" s="187">
        <v>0</v>
      </c>
      <c r="AD28" s="52">
        <v>0.125</v>
      </c>
      <c r="AE28" s="388"/>
      <c r="AF28" s="370"/>
      <c r="AG28" s="387"/>
      <c r="AH28" s="370"/>
      <c r="AI28" s="387"/>
      <c r="AJ28" s="370"/>
      <c r="AK28" s="387"/>
      <c r="AL28" s="379"/>
      <c r="AM28" s="388"/>
      <c r="AN28" s="208" t="s">
        <v>223</v>
      </c>
      <c r="AO28" s="150">
        <v>0</v>
      </c>
      <c r="AP28" s="150" t="s">
        <v>223</v>
      </c>
      <c r="AQ28" s="149" t="s">
        <v>223</v>
      </c>
      <c r="AR28" s="150">
        <v>0</v>
      </c>
      <c r="AS28" s="24" t="s">
        <v>223</v>
      </c>
      <c r="AT28" s="149" t="s">
        <v>223</v>
      </c>
      <c r="AU28" s="150">
        <v>0</v>
      </c>
      <c r="AV28" s="24" t="s">
        <v>223</v>
      </c>
      <c r="AW28" s="149" t="s">
        <v>223</v>
      </c>
      <c r="AX28" s="150">
        <v>0</v>
      </c>
      <c r="AY28" s="24" t="s">
        <v>223</v>
      </c>
      <c r="AZ28" s="149" t="s">
        <v>223</v>
      </c>
      <c r="BA28" s="150">
        <v>0</v>
      </c>
      <c r="BB28" s="24" t="s">
        <v>223</v>
      </c>
      <c r="BC28" s="149" t="s">
        <v>223</v>
      </c>
      <c r="BD28" s="150">
        <v>0</v>
      </c>
      <c r="BE28" s="24" t="s">
        <v>223</v>
      </c>
      <c r="BF28" s="149" t="s">
        <v>223</v>
      </c>
      <c r="BG28" s="150">
        <v>0</v>
      </c>
      <c r="BH28" s="91" t="s">
        <v>223</v>
      </c>
      <c r="BI28" s="149" t="s">
        <v>223</v>
      </c>
      <c r="BJ28" s="23">
        <v>0</v>
      </c>
      <c r="BK28" s="145" t="s">
        <v>223</v>
      </c>
      <c r="BL28" s="472">
        <v>0</v>
      </c>
      <c r="BM28" s="524">
        <v>0</v>
      </c>
      <c r="BN28" s="285">
        <v>2</v>
      </c>
      <c r="BO28" s="190">
        <v>1</v>
      </c>
      <c r="BP28" s="25">
        <v>3</v>
      </c>
      <c r="BQ28" s="288">
        <v>2</v>
      </c>
      <c r="BR28" s="99"/>
      <c r="BS28" s="109">
        <v>6.9</v>
      </c>
      <c r="BT28" s="109" t="s">
        <v>389</v>
      </c>
      <c r="BU28" s="112">
        <v>5.3</v>
      </c>
      <c r="BV28" s="112" t="s">
        <v>389</v>
      </c>
      <c r="BW28" s="112">
        <v>6.4</v>
      </c>
      <c r="BX28" s="112" t="s">
        <v>389</v>
      </c>
      <c r="BY28" s="112">
        <v>5.3</v>
      </c>
      <c r="BZ28" s="112" t="s">
        <v>389</v>
      </c>
      <c r="CA28" s="112">
        <v>5.0999999999999996</v>
      </c>
      <c r="CB28" s="112" t="s">
        <v>389</v>
      </c>
      <c r="CC28" s="112">
        <v>5.7</v>
      </c>
      <c r="CD28" s="112" t="s">
        <v>389</v>
      </c>
      <c r="CE28" s="112">
        <v>6.3</v>
      </c>
      <c r="CF28" s="112" t="s">
        <v>389</v>
      </c>
      <c r="CG28" s="112">
        <v>6.5</v>
      </c>
      <c r="CH28" s="112" t="s">
        <v>389</v>
      </c>
      <c r="CI28" s="488">
        <v>5.2</v>
      </c>
      <c r="CJ28" s="410" t="s">
        <v>389</v>
      </c>
      <c r="CL28" s="268" t="s">
        <v>223</v>
      </c>
      <c r="CM28" s="119">
        <v>0</v>
      </c>
      <c r="CN28" s="124"/>
      <c r="CO28" s="125"/>
      <c r="CP28" s="126"/>
      <c r="CQ28" s="126"/>
    </row>
    <row r="29" spans="1:95" x14ac:dyDescent="0.25">
      <c r="A29" s="651"/>
      <c r="B29" s="33" t="s">
        <v>50</v>
      </c>
      <c r="C29" s="235">
        <v>123</v>
      </c>
      <c r="D29" s="246">
        <v>0.64077669902912626</v>
      </c>
      <c r="E29" s="24">
        <v>0.78846153846153844</v>
      </c>
      <c r="F29" s="23">
        <v>0</v>
      </c>
      <c r="G29" s="17">
        <v>0.7142857142857143</v>
      </c>
      <c r="H29" s="24">
        <v>0.79746835443037978</v>
      </c>
      <c r="I29" s="23">
        <v>0</v>
      </c>
      <c r="J29" s="59">
        <v>0.67753120665742028</v>
      </c>
      <c r="K29" s="91">
        <v>0.79296494644595916</v>
      </c>
      <c r="L29" s="23">
        <v>0</v>
      </c>
      <c r="M29" s="51">
        <v>1.2399870184143401E-2</v>
      </c>
      <c r="N29" s="60">
        <v>1.8190365024461799E-3</v>
      </c>
      <c r="O29" s="52">
        <v>5.1945935941855896E-3</v>
      </c>
      <c r="P29" s="43">
        <v>2.3456390286711801E-3</v>
      </c>
      <c r="Q29" s="52">
        <v>6.49212110609141E-2</v>
      </c>
      <c r="R29" s="43">
        <v>4.5156435212591703E-2</v>
      </c>
      <c r="S29" s="23">
        <v>0</v>
      </c>
      <c r="T29" s="44">
        <v>2.8838204078252501E-2</v>
      </c>
      <c r="U29" s="52">
        <v>6.5817602739342293E-3</v>
      </c>
      <c r="V29" s="42">
        <v>1.9704433497536901E-2</v>
      </c>
      <c r="W29" s="60">
        <v>3.1413612565444997E-2</v>
      </c>
      <c r="X29" s="23">
        <v>1</v>
      </c>
      <c r="Y29" s="190">
        <v>2</v>
      </c>
      <c r="Z29" s="311">
        <v>1</v>
      </c>
      <c r="AA29" s="312">
        <v>1</v>
      </c>
      <c r="AB29" s="188">
        <v>9</v>
      </c>
      <c r="AC29" s="187">
        <v>2</v>
      </c>
      <c r="AD29" s="52">
        <v>7.3170731707317069E-2</v>
      </c>
      <c r="AE29" s="408">
        <v>7.6234567901234565</v>
      </c>
      <c r="AF29" s="375">
        <v>6.9444444444444455</v>
      </c>
      <c r="AG29" s="375">
        <v>8.1481481481481488</v>
      </c>
      <c r="AH29" s="376">
        <v>7.5</v>
      </c>
      <c r="AI29" s="375">
        <v>6.8518518518518521</v>
      </c>
      <c r="AJ29" s="376">
        <v>6.25</v>
      </c>
      <c r="AK29" s="375">
        <v>7.8703703703703702</v>
      </c>
      <c r="AL29" s="111">
        <v>7.083333333333333</v>
      </c>
      <c r="AM29" s="386">
        <v>1</v>
      </c>
      <c r="AN29" s="60">
        <v>0.88888888888888884</v>
      </c>
      <c r="AO29" s="23">
        <v>1</v>
      </c>
      <c r="AP29" s="52" t="s">
        <v>223</v>
      </c>
      <c r="AQ29" s="43">
        <v>0.88888888888888884</v>
      </c>
      <c r="AR29" s="23">
        <v>1</v>
      </c>
      <c r="AS29" s="24" t="s">
        <v>223</v>
      </c>
      <c r="AT29" s="43">
        <v>0.55555555555555558</v>
      </c>
      <c r="AU29" s="23">
        <v>0</v>
      </c>
      <c r="AV29" s="24" t="s">
        <v>223</v>
      </c>
      <c r="AW29" s="43">
        <v>0.66666666666666663</v>
      </c>
      <c r="AX29" s="23">
        <v>0</v>
      </c>
      <c r="AY29" s="24" t="s">
        <v>223</v>
      </c>
      <c r="AZ29" s="43">
        <v>0.77777777777777768</v>
      </c>
      <c r="BA29" s="23">
        <v>1</v>
      </c>
      <c r="BB29" s="24" t="s">
        <v>223</v>
      </c>
      <c r="BC29" s="43">
        <v>0.55555555555555558</v>
      </c>
      <c r="BD29" s="23">
        <v>0</v>
      </c>
      <c r="BE29" s="24" t="s">
        <v>223</v>
      </c>
      <c r="BF29" s="43">
        <v>0.77777777777777768</v>
      </c>
      <c r="BG29" s="23">
        <v>1</v>
      </c>
      <c r="BH29" s="91" t="s">
        <v>223</v>
      </c>
      <c r="BI29" s="44">
        <v>0.77777777777777779</v>
      </c>
      <c r="BJ29" s="23">
        <v>1</v>
      </c>
      <c r="BK29" s="145" t="s">
        <v>223</v>
      </c>
      <c r="BL29" s="471">
        <v>5</v>
      </c>
      <c r="BM29" s="523">
        <v>0</v>
      </c>
      <c r="BN29" s="285">
        <v>6</v>
      </c>
      <c r="BO29" s="190">
        <v>1</v>
      </c>
      <c r="BP29" s="25">
        <v>5</v>
      </c>
      <c r="BQ29" s="288">
        <v>5</v>
      </c>
      <c r="BR29" s="99"/>
      <c r="BS29" s="109">
        <v>7.5</v>
      </c>
      <c r="BT29" s="109" t="s">
        <v>389</v>
      </c>
      <c r="BU29" s="112">
        <v>6.2</v>
      </c>
      <c r="BV29" s="112" t="s">
        <v>389</v>
      </c>
      <c r="BW29" s="112">
        <v>7</v>
      </c>
      <c r="BX29" s="112" t="s">
        <v>389</v>
      </c>
      <c r="BY29" s="112">
        <v>6.4</v>
      </c>
      <c r="BZ29" s="112" t="s">
        <v>389</v>
      </c>
      <c r="CA29" s="112">
        <v>5.6</v>
      </c>
      <c r="CB29" s="112" t="s">
        <v>389</v>
      </c>
      <c r="CC29" s="112">
        <v>6.5</v>
      </c>
      <c r="CD29" s="112" t="s">
        <v>389</v>
      </c>
      <c r="CE29" s="112">
        <v>6.8</v>
      </c>
      <c r="CF29" s="112" t="s">
        <v>389</v>
      </c>
      <c r="CG29" s="112">
        <v>7.1</v>
      </c>
      <c r="CH29" s="112">
        <v>7.3</v>
      </c>
      <c r="CI29" s="488">
        <v>6.2</v>
      </c>
      <c r="CJ29" s="277">
        <v>6.6</v>
      </c>
      <c r="CL29" s="267">
        <v>4</v>
      </c>
      <c r="CM29" s="119">
        <v>3</v>
      </c>
      <c r="CN29" s="124"/>
      <c r="CO29" s="125"/>
      <c r="CP29" s="126"/>
      <c r="CQ29" s="126"/>
    </row>
    <row r="30" spans="1:95" x14ac:dyDescent="0.25">
      <c r="A30" s="651"/>
      <c r="B30" s="33" t="s">
        <v>52</v>
      </c>
      <c r="C30" s="235">
        <v>106</v>
      </c>
      <c r="D30" s="246">
        <v>0.74736842105263157</v>
      </c>
      <c r="E30" s="24">
        <v>0.79591836734693877</v>
      </c>
      <c r="F30" s="23">
        <v>0</v>
      </c>
      <c r="G30" s="17">
        <v>0.9375</v>
      </c>
      <c r="H30" s="24">
        <v>0.80722891566265065</v>
      </c>
      <c r="I30" s="23">
        <v>1</v>
      </c>
      <c r="J30" s="59">
        <v>0.84243421052631584</v>
      </c>
      <c r="K30" s="91">
        <v>0.80157364150479471</v>
      </c>
      <c r="L30" s="23">
        <v>0</v>
      </c>
      <c r="M30" s="51">
        <v>6.54693922657362E-3</v>
      </c>
      <c r="N30" s="60">
        <v>7.5204467659318597E-3</v>
      </c>
      <c r="O30" s="52">
        <v>7.4434578196241304E-3</v>
      </c>
      <c r="P30" s="43">
        <v>3.18662998556435E-3</v>
      </c>
      <c r="Q30" s="52">
        <v>5.1278818308395299E-2</v>
      </c>
      <c r="R30" s="43">
        <v>4.5782949053948099E-2</v>
      </c>
      <c r="S30" s="23">
        <v>0</v>
      </c>
      <c r="T30" s="44">
        <v>9.9692711730832387E-3</v>
      </c>
      <c r="U30" s="52">
        <v>5.6084687745932508E-3</v>
      </c>
      <c r="V30" s="42">
        <v>1.06951871657754E-2</v>
      </c>
      <c r="W30" s="60">
        <v>5.4347826086956499E-2</v>
      </c>
      <c r="X30" s="23">
        <v>1</v>
      </c>
      <c r="Y30" s="190">
        <v>1</v>
      </c>
      <c r="Z30" s="311">
        <v>1</v>
      </c>
      <c r="AA30" s="312">
        <v>1</v>
      </c>
      <c r="AB30" s="188">
        <v>13</v>
      </c>
      <c r="AC30" s="187">
        <v>5</v>
      </c>
      <c r="AD30" s="52">
        <v>0.12264150943396226</v>
      </c>
      <c r="AE30" s="408">
        <v>6.0042735042735051</v>
      </c>
      <c r="AF30" s="375">
        <v>6.7777777777777795</v>
      </c>
      <c r="AG30" s="375">
        <v>6.4743589743589745</v>
      </c>
      <c r="AH30" s="376">
        <v>6.333333333333333</v>
      </c>
      <c r="AI30" s="375">
        <v>5.384615384615385</v>
      </c>
      <c r="AJ30" s="376">
        <v>6</v>
      </c>
      <c r="AK30" s="375">
        <v>6.1538461538461542</v>
      </c>
      <c r="AL30" s="111">
        <v>8</v>
      </c>
      <c r="AM30" s="386">
        <v>0.92035398230088494</v>
      </c>
      <c r="AN30" s="60">
        <v>0.61538461538461542</v>
      </c>
      <c r="AO30" s="23">
        <v>0</v>
      </c>
      <c r="AP30" s="52">
        <v>0.60000000000000009</v>
      </c>
      <c r="AQ30" s="43">
        <v>0.76923076923076927</v>
      </c>
      <c r="AR30" s="23">
        <v>1</v>
      </c>
      <c r="AS30" s="24">
        <v>0.8</v>
      </c>
      <c r="AT30" s="43">
        <v>0.38461538461538464</v>
      </c>
      <c r="AU30" s="23">
        <v>0</v>
      </c>
      <c r="AV30" s="24">
        <v>0.60000000000000009</v>
      </c>
      <c r="AW30" s="43">
        <v>0.53846153846153855</v>
      </c>
      <c r="AX30" s="23">
        <v>0</v>
      </c>
      <c r="AY30" s="24">
        <v>0.60000000000000009</v>
      </c>
      <c r="AZ30" s="43">
        <v>0.53846153846153855</v>
      </c>
      <c r="BA30" s="23">
        <v>0</v>
      </c>
      <c r="BB30" s="24">
        <v>0.60000000000000009</v>
      </c>
      <c r="BC30" s="43">
        <v>0.61538461538461542</v>
      </c>
      <c r="BD30" s="23">
        <v>0</v>
      </c>
      <c r="BE30" s="24">
        <v>0.60000000000000009</v>
      </c>
      <c r="BF30" s="43">
        <v>0.53846153846153855</v>
      </c>
      <c r="BG30" s="23">
        <v>0</v>
      </c>
      <c r="BH30" s="91">
        <v>0.60000000000000009</v>
      </c>
      <c r="BI30" s="44">
        <v>0.46153846153846156</v>
      </c>
      <c r="BJ30" s="23">
        <v>0</v>
      </c>
      <c r="BK30" s="145">
        <v>0.60000000000000009</v>
      </c>
      <c r="BL30" s="471">
        <v>1</v>
      </c>
      <c r="BM30" s="523">
        <v>1</v>
      </c>
      <c r="BN30" s="285">
        <v>2</v>
      </c>
      <c r="BO30" s="190">
        <v>2</v>
      </c>
      <c r="BP30" s="25">
        <v>10</v>
      </c>
      <c r="BQ30" s="288">
        <v>6</v>
      </c>
      <c r="BR30" s="99"/>
      <c r="BS30" s="117">
        <v>7.2</v>
      </c>
      <c r="BT30" s="117" t="s">
        <v>389</v>
      </c>
      <c r="BU30" s="112">
        <v>5.7</v>
      </c>
      <c r="BV30" s="112" t="s">
        <v>389</v>
      </c>
      <c r="BW30" s="112">
        <v>6.7</v>
      </c>
      <c r="BX30" s="112" t="s">
        <v>389</v>
      </c>
      <c r="BY30" s="112">
        <v>5.9</v>
      </c>
      <c r="BZ30" s="112" t="s">
        <v>389</v>
      </c>
      <c r="CA30" s="112">
        <v>5.2</v>
      </c>
      <c r="CB30" s="112" t="s">
        <v>389</v>
      </c>
      <c r="CC30" s="112">
        <v>5.4</v>
      </c>
      <c r="CD30" s="112" t="s">
        <v>389</v>
      </c>
      <c r="CE30" s="112">
        <v>6.3</v>
      </c>
      <c r="CF30" s="112" t="s">
        <v>389</v>
      </c>
      <c r="CG30" s="112">
        <v>6.9</v>
      </c>
      <c r="CH30" s="112">
        <v>6.8</v>
      </c>
      <c r="CI30" s="488">
        <v>5.9</v>
      </c>
      <c r="CJ30" s="277">
        <v>5.8</v>
      </c>
      <c r="CL30" s="267">
        <v>7</v>
      </c>
      <c r="CM30" s="119">
        <v>14</v>
      </c>
      <c r="CN30" s="124"/>
      <c r="CO30" s="125"/>
      <c r="CP30" s="126"/>
      <c r="CQ30" s="126"/>
    </row>
    <row r="31" spans="1:95" x14ac:dyDescent="0.25">
      <c r="A31" s="651"/>
      <c r="B31" s="33" t="s">
        <v>53</v>
      </c>
      <c r="C31" s="235">
        <v>24</v>
      </c>
      <c r="D31" s="246">
        <v>0.63636363636363635</v>
      </c>
      <c r="E31" s="24">
        <v>0.9</v>
      </c>
      <c r="F31" s="23">
        <v>0</v>
      </c>
      <c r="G31" s="17">
        <v>0.875</v>
      </c>
      <c r="H31" s="24">
        <v>0.95238095238095233</v>
      </c>
      <c r="I31" s="23">
        <v>0</v>
      </c>
      <c r="J31" s="59">
        <v>0.75568181818181812</v>
      </c>
      <c r="K31" s="91">
        <v>0.92619047619047623</v>
      </c>
      <c r="L31" s="23">
        <v>0</v>
      </c>
      <c r="M31" s="51">
        <v>7.4825153503623202E-3</v>
      </c>
      <c r="N31" s="60">
        <v>5.7576260642282898E-2</v>
      </c>
      <c r="O31" s="52">
        <v>5.1278091053059598E-3</v>
      </c>
      <c r="P31" s="43">
        <v>0</v>
      </c>
      <c r="Q31" s="52">
        <v>3.4967484038918299E-2</v>
      </c>
      <c r="R31" s="43">
        <v>0.10757656830437499</v>
      </c>
      <c r="S31" s="23">
        <v>1</v>
      </c>
      <c r="T31" s="44">
        <v>0</v>
      </c>
      <c r="U31" s="52">
        <v>8.5253291293715297E-2</v>
      </c>
      <c r="V31" s="42">
        <v>4.2553191489361701E-2</v>
      </c>
      <c r="W31" s="60">
        <v>4.2553191489361701E-2</v>
      </c>
      <c r="X31" s="23">
        <v>1</v>
      </c>
      <c r="Y31" s="190">
        <v>1</v>
      </c>
      <c r="Z31" s="311">
        <v>2</v>
      </c>
      <c r="AA31" s="312">
        <v>2</v>
      </c>
      <c r="AB31" s="188">
        <v>1</v>
      </c>
      <c r="AC31" s="187">
        <v>0</v>
      </c>
      <c r="AD31" s="52">
        <v>4.1666666666666664E-2</v>
      </c>
      <c r="AE31" s="388">
        <v>8.3333333333333339</v>
      </c>
      <c r="AF31" s="375"/>
      <c r="AG31" s="387">
        <v>8.3333333333333339</v>
      </c>
      <c r="AH31" s="376"/>
      <c r="AI31" s="387">
        <v>7.5</v>
      </c>
      <c r="AJ31" s="376"/>
      <c r="AK31" s="387">
        <v>9.1666666666666661</v>
      </c>
      <c r="AL31" s="111"/>
      <c r="AM31" s="386">
        <v>1</v>
      </c>
      <c r="AN31" s="208" t="s">
        <v>223</v>
      </c>
      <c r="AO31" s="150">
        <v>0</v>
      </c>
      <c r="AP31" s="150" t="s">
        <v>223</v>
      </c>
      <c r="AQ31" s="149" t="s">
        <v>223</v>
      </c>
      <c r="AR31" s="150">
        <v>0</v>
      </c>
      <c r="AS31" s="24" t="s">
        <v>223</v>
      </c>
      <c r="AT31" s="149" t="s">
        <v>223</v>
      </c>
      <c r="AU31" s="150">
        <v>0</v>
      </c>
      <c r="AV31" s="24" t="s">
        <v>223</v>
      </c>
      <c r="AW31" s="149" t="s">
        <v>223</v>
      </c>
      <c r="AX31" s="150">
        <v>0</v>
      </c>
      <c r="AY31" s="24" t="s">
        <v>223</v>
      </c>
      <c r="AZ31" s="149" t="s">
        <v>223</v>
      </c>
      <c r="BA31" s="150">
        <v>0</v>
      </c>
      <c r="BB31" s="24" t="s">
        <v>223</v>
      </c>
      <c r="BC31" s="149" t="s">
        <v>223</v>
      </c>
      <c r="BD31" s="150">
        <v>0</v>
      </c>
      <c r="BE31" s="24" t="s">
        <v>223</v>
      </c>
      <c r="BF31" s="149" t="s">
        <v>223</v>
      </c>
      <c r="BG31" s="150">
        <v>0</v>
      </c>
      <c r="BH31" s="91" t="s">
        <v>223</v>
      </c>
      <c r="BI31" s="149" t="s">
        <v>223</v>
      </c>
      <c r="BJ31" s="23">
        <v>0</v>
      </c>
      <c r="BK31" s="145" t="s">
        <v>223</v>
      </c>
      <c r="BL31" s="472">
        <v>0</v>
      </c>
      <c r="BM31" s="524">
        <v>0</v>
      </c>
      <c r="BN31" s="285">
        <v>2</v>
      </c>
      <c r="BO31" s="190">
        <v>2</v>
      </c>
      <c r="BP31" s="25">
        <v>2</v>
      </c>
      <c r="BQ31" s="288">
        <v>2</v>
      </c>
      <c r="BR31" s="99"/>
      <c r="BS31" s="109">
        <v>7.5</v>
      </c>
      <c r="BT31" s="109" t="s">
        <v>389</v>
      </c>
      <c r="BU31" s="112">
        <v>6.2</v>
      </c>
      <c r="BV31" s="112" t="s">
        <v>389</v>
      </c>
      <c r="BW31" s="112">
        <v>7</v>
      </c>
      <c r="BX31" s="112" t="s">
        <v>389</v>
      </c>
      <c r="BY31" s="112">
        <v>6.4</v>
      </c>
      <c r="BZ31" s="112" t="s">
        <v>389</v>
      </c>
      <c r="CA31" s="112">
        <v>5.6</v>
      </c>
      <c r="CB31" s="112" t="s">
        <v>389</v>
      </c>
      <c r="CC31" s="112">
        <v>6.5</v>
      </c>
      <c r="CD31" s="112" t="s">
        <v>389</v>
      </c>
      <c r="CE31" s="112">
        <v>6.8</v>
      </c>
      <c r="CF31" s="112" t="s">
        <v>389</v>
      </c>
      <c r="CG31" s="112">
        <v>7.1</v>
      </c>
      <c r="CH31" s="112">
        <v>7.3</v>
      </c>
      <c r="CI31" s="488">
        <v>6.2</v>
      </c>
      <c r="CJ31" s="277">
        <v>6.6</v>
      </c>
      <c r="CL31" s="268">
        <v>1</v>
      </c>
      <c r="CM31" s="119">
        <v>0</v>
      </c>
      <c r="CN31" s="124"/>
      <c r="CO31" s="125"/>
      <c r="CP31" s="126"/>
      <c r="CQ31" s="126"/>
    </row>
    <row r="32" spans="1:95" x14ac:dyDescent="0.25">
      <c r="A32" s="651"/>
      <c r="B32" s="33" t="s">
        <v>54</v>
      </c>
      <c r="C32" s="235">
        <v>88</v>
      </c>
      <c r="D32" s="246">
        <v>0.55263157894736847</v>
      </c>
      <c r="E32" s="24">
        <v>0.81927710843373491</v>
      </c>
      <c r="F32" s="23">
        <v>0</v>
      </c>
      <c r="G32" s="17">
        <v>0.9</v>
      </c>
      <c r="H32" s="24">
        <v>0.80769230769230771</v>
      </c>
      <c r="I32" s="23">
        <v>1</v>
      </c>
      <c r="J32" s="59">
        <v>0.72631578947368425</v>
      </c>
      <c r="K32" s="91">
        <v>0.81348470806302131</v>
      </c>
      <c r="L32" s="23">
        <v>0</v>
      </c>
      <c r="M32" s="51">
        <v>3.8292101462148401E-3</v>
      </c>
      <c r="N32" s="60">
        <v>7.9556752275027308E-3</v>
      </c>
      <c r="O32" s="52">
        <v>1.37555550670692E-2</v>
      </c>
      <c r="P32" s="43">
        <v>1.7964427933070701E-3</v>
      </c>
      <c r="Q32" s="52">
        <v>4.6720045930099298E-2</v>
      </c>
      <c r="R32" s="43">
        <v>6.5871425412145607E-2</v>
      </c>
      <c r="S32" s="23">
        <v>0</v>
      </c>
      <c r="T32" s="44">
        <v>1.1543126237864999E-2</v>
      </c>
      <c r="U32" s="52">
        <v>1.64879072209566E-2</v>
      </c>
      <c r="V32" s="42">
        <v>5.16129032258065E-2</v>
      </c>
      <c r="W32" s="60">
        <v>5.0632911392405097E-2</v>
      </c>
      <c r="X32" s="23">
        <v>1</v>
      </c>
      <c r="Y32" s="190">
        <v>4</v>
      </c>
      <c r="Z32" s="311">
        <v>1</v>
      </c>
      <c r="AA32" s="312">
        <v>1</v>
      </c>
      <c r="AB32" s="188">
        <v>9</v>
      </c>
      <c r="AC32" s="187">
        <v>1</v>
      </c>
      <c r="AD32" s="52">
        <v>0.10227272727272728</v>
      </c>
      <c r="AE32" s="408">
        <v>6.6358024691358031</v>
      </c>
      <c r="AF32" s="375">
        <v>5.833333333333333</v>
      </c>
      <c r="AG32" s="375">
        <v>6.2037037037037033</v>
      </c>
      <c r="AH32" s="375">
        <v>7.5</v>
      </c>
      <c r="AI32" s="375">
        <v>6.7592592592592595</v>
      </c>
      <c r="AJ32" s="375">
        <v>5</v>
      </c>
      <c r="AK32" s="375">
        <v>6.9444444444444446</v>
      </c>
      <c r="AL32" s="271">
        <v>5</v>
      </c>
      <c r="AM32" s="386">
        <v>0.8571428571428571</v>
      </c>
      <c r="AN32" s="208">
        <v>0.44444444444444442</v>
      </c>
      <c r="AO32" s="150">
        <v>0</v>
      </c>
      <c r="AP32" s="150" t="s">
        <v>223</v>
      </c>
      <c r="AQ32" s="149">
        <v>0.77777777777777779</v>
      </c>
      <c r="AR32" s="150">
        <v>1</v>
      </c>
      <c r="AS32" s="24" t="s">
        <v>223</v>
      </c>
      <c r="AT32" s="149">
        <v>0.66666666666666663</v>
      </c>
      <c r="AU32" s="150">
        <v>0</v>
      </c>
      <c r="AV32" s="24" t="s">
        <v>223</v>
      </c>
      <c r="AW32" s="149">
        <v>0.77777777777777768</v>
      </c>
      <c r="AX32" s="150">
        <v>1</v>
      </c>
      <c r="AY32" s="24" t="s">
        <v>223</v>
      </c>
      <c r="AZ32" s="149">
        <v>0.55555555555555558</v>
      </c>
      <c r="BA32" s="150">
        <v>0</v>
      </c>
      <c r="BB32" s="24" t="s">
        <v>223</v>
      </c>
      <c r="BC32" s="149">
        <v>0.66666666666666674</v>
      </c>
      <c r="BD32" s="150">
        <v>0</v>
      </c>
      <c r="BE32" s="24" t="s">
        <v>223</v>
      </c>
      <c r="BF32" s="149">
        <v>0.66666666666666663</v>
      </c>
      <c r="BG32" s="150">
        <v>0</v>
      </c>
      <c r="BH32" s="91" t="s">
        <v>223</v>
      </c>
      <c r="BI32" s="149">
        <v>0.66666666666666663</v>
      </c>
      <c r="BJ32" s="23">
        <v>0</v>
      </c>
      <c r="BK32" s="145" t="s">
        <v>223</v>
      </c>
      <c r="BL32" s="472">
        <v>2</v>
      </c>
      <c r="BM32" s="524">
        <v>0</v>
      </c>
      <c r="BN32" s="285">
        <v>3</v>
      </c>
      <c r="BO32" s="190">
        <v>1</v>
      </c>
      <c r="BP32" s="25">
        <v>2</v>
      </c>
      <c r="BQ32" s="288">
        <v>4</v>
      </c>
      <c r="BR32" s="99"/>
      <c r="BS32" s="117">
        <v>7.2</v>
      </c>
      <c r="BT32" s="117" t="s">
        <v>389</v>
      </c>
      <c r="BU32" s="112">
        <v>5.7</v>
      </c>
      <c r="BV32" s="112" t="s">
        <v>389</v>
      </c>
      <c r="BW32" s="112">
        <v>6.7</v>
      </c>
      <c r="BX32" s="112" t="s">
        <v>389</v>
      </c>
      <c r="BY32" s="112">
        <v>5.9</v>
      </c>
      <c r="BZ32" s="112" t="s">
        <v>389</v>
      </c>
      <c r="CA32" s="112">
        <v>5.2</v>
      </c>
      <c r="CB32" s="112" t="s">
        <v>389</v>
      </c>
      <c r="CC32" s="112">
        <v>5.4</v>
      </c>
      <c r="CD32" s="112" t="s">
        <v>389</v>
      </c>
      <c r="CE32" s="112">
        <v>6.3</v>
      </c>
      <c r="CF32" s="112" t="s">
        <v>389</v>
      </c>
      <c r="CG32" s="112">
        <v>6.9</v>
      </c>
      <c r="CH32" s="112">
        <v>6.8</v>
      </c>
      <c r="CI32" s="488">
        <v>5.9</v>
      </c>
      <c r="CJ32" s="277">
        <v>5.8</v>
      </c>
      <c r="CL32" s="267">
        <v>11</v>
      </c>
      <c r="CM32" s="119">
        <v>18</v>
      </c>
      <c r="CN32" s="124"/>
      <c r="CO32" s="125"/>
      <c r="CP32" s="126"/>
      <c r="CQ32" s="126"/>
    </row>
    <row r="33" spans="1:95" x14ac:dyDescent="0.25">
      <c r="A33" s="651"/>
      <c r="B33" s="151" t="s">
        <v>55</v>
      </c>
      <c r="C33" s="235">
        <v>34</v>
      </c>
      <c r="D33" s="246">
        <v>0.625</v>
      </c>
      <c r="E33" s="24">
        <v>0.72413793103448276</v>
      </c>
      <c r="F33" s="23">
        <v>0</v>
      </c>
      <c r="G33" s="17">
        <v>0.8</v>
      </c>
      <c r="H33" s="24">
        <v>0.91176470588235292</v>
      </c>
      <c r="I33" s="23">
        <v>0</v>
      </c>
      <c r="J33" s="59">
        <v>0.71250000000000002</v>
      </c>
      <c r="K33" s="91">
        <v>0.81795131845841784</v>
      </c>
      <c r="L33" s="23">
        <v>0</v>
      </c>
      <c r="M33" s="51">
        <v>6.0493456319251303E-4</v>
      </c>
      <c r="N33" s="60">
        <v>7.6779066955185299E-3</v>
      </c>
      <c r="O33" s="52">
        <v>0</v>
      </c>
      <c r="P33" s="43">
        <v>8.0435213000670403E-3</v>
      </c>
      <c r="Q33" s="52">
        <v>9.7866314632966897E-2</v>
      </c>
      <c r="R33" s="43">
        <v>7.9504208315502006E-2</v>
      </c>
      <c r="S33" s="23">
        <v>0</v>
      </c>
      <c r="T33" s="44">
        <v>6.8086041993815793E-2</v>
      </c>
      <c r="U33" s="52">
        <v>3.63616557296104E-2</v>
      </c>
      <c r="V33" s="42">
        <v>3.03030303030303E-2</v>
      </c>
      <c r="W33" s="60">
        <v>3.2258064516128997E-2</v>
      </c>
      <c r="X33" s="23">
        <v>1</v>
      </c>
      <c r="Y33" s="190">
        <v>1</v>
      </c>
      <c r="Z33" s="311">
        <v>1</v>
      </c>
      <c r="AA33" s="312">
        <v>1</v>
      </c>
      <c r="AB33" s="188">
        <v>1</v>
      </c>
      <c r="AC33" s="187">
        <v>1</v>
      </c>
      <c r="AD33" s="52">
        <v>2.9411764705882353E-2</v>
      </c>
      <c r="AE33" s="408">
        <v>7.2222222222222214</v>
      </c>
      <c r="AF33" s="370">
        <v>4.7</v>
      </c>
      <c r="AG33" s="375">
        <v>5</v>
      </c>
      <c r="AH33" s="370">
        <v>3.3</v>
      </c>
      <c r="AI33" s="375">
        <v>10</v>
      </c>
      <c r="AJ33" s="370">
        <v>5</v>
      </c>
      <c r="AK33" s="375">
        <v>6.666666666666667</v>
      </c>
      <c r="AL33" s="379">
        <v>5.8</v>
      </c>
      <c r="AM33" s="388"/>
      <c r="AN33" s="208" t="s">
        <v>223</v>
      </c>
      <c r="AO33" s="150">
        <v>0</v>
      </c>
      <c r="AP33" s="150" t="s">
        <v>223</v>
      </c>
      <c r="AQ33" s="149" t="s">
        <v>223</v>
      </c>
      <c r="AR33" s="150">
        <v>0</v>
      </c>
      <c r="AS33" s="24" t="s">
        <v>223</v>
      </c>
      <c r="AT33" s="149" t="s">
        <v>223</v>
      </c>
      <c r="AU33" s="150">
        <v>0</v>
      </c>
      <c r="AV33" s="24" t="s">
        <v>223</v>
      </c>
      <c r="AW33" s="149" t="s">
        <v>223</v>
      </c>
      <c r="AX33" s="150">
        <v>0</v>
      </c>
      <c r="AY33" s="24" t="s">
        <v>223</v>
      </c>
      <c r="AZ33" s="149" t="s">
        <v>223</v>
      </c>
      <c r="BA33" s="150">
        <v>0</v>
      </c>
      <c r="BB33" s="24" t="s">
        <v>223</v>
      </c>
      <c r="BC33" s="149" t="s">
        <v>223</v>
      </c>
      <c r="BD33" s="150">
        <v>0</v>
      </c>
      <c r="BE33" s="24" t="s">
        <v>223</v>
      </c>
      <c r="BF33" s="149" t="s">
        <v>223</v>
      </c>
      <c r="BG33" s="150">
        <v>0</v>
      </c>
      <c r="BH33" s="91" t="s">
        <v>223</v>
      </c>
      <c r="BI33" s="149" t="s">
        <v>223</v>
      </c>
      <c r="BJ33" s="23">
        <v>0</v>
      </c>
      <c r="BK33" s="145" t="s">
        <v>223</v>
      </c>
      <c r="BL33" s="472">
        <v>0</v>
      </c>
      <c r="BM33" s="524">
        <v>0</v>
      </c>
      <c r="BN33" s="285">
        <v>1</v>
      </c>
      <c r="BO33" s="190">
        <v>1</v>
      </c>
      <c r="BP33" s="25">
        <v>2</v>
      </c>
      <c r="BQ33" s="288">
        <v>1</v>
      </c>
      <c r="BR33" s="99"/>
      <c r="BS33" s="109">
        <v>7.3</v>
      </c>
      <c r="BT33" s="109" t="s">
        <v>389</v>
      </c>
      <c r="BU33" s="112">
        <v>6</v>
      </c>
      <c r="BV33" s="112" t="s">
        <v>389</v>
      </c>
      <c r="BW33" s="112">
        <v>6.7</v>
      </c>
      <c r="BX33" s="112" t="s">
        <v>389</v>
      </c>
      <c r="BY33" s="112">
        <v>6</v>
      </c>
      <c r="BZ33" s="112" t="s">
        <v>389</v>
      </c>
      <c r="CA33" s="112">
        <v>5.2</v>
      </c>
      <c r="CB33" s="112" t="s">
        <v>389</v>
      </c>
      <c r="CC33" s="112">
        <v>6.7</v>
      </c>
      <c r="CD33" s="112" t="s">
        <v>389</v>
      </c>
      <c r="CE33" s="112">
        <v>6.9</v>
      </c>
      <c r="CF33" s="112" t="s">
        <v>389</v>
      </c>
      <c r="CG33" s="112">
        <v>6.9</v>
      </c>
      <c r="CH33" s="112" t="s">
        <v>389</v>
      </c>
      <c r="CI33" s="488">
        <v>6.1</v>
      </c>
      <c r="CJ33" s="410" t="s">
        <v>389</v>
      </c>
      <c r="CL33" s="268" t="s">
        <v>223</v>
      </c>
      <c r="CM33" s="119">
        <v>0</v>
      </c>
      <c r="CN33" s="124"/>
      <c r="CO33" s="125"/>
      <c r="CP33" s="126"/>
      <c r="CQ33" s="126"/>
    </row>
    <row r="34" spans="1:95" x14ac:dyDescent="0.25">
      <c r="A34" s="651"/>
      <c r="B34" s="33" t="s">
        <v>56</v>
      </c>
      <c r="C34" s="235">
        <v>590</v>
      </c>
      <c r="D34" s="246">
        <v>0.50549450549450547</v>
      </c>
      <c r="E34" s="24">
        <v>0.76603773584905666</v>
      </c>
      <c r="F34" s="23">
        <v>0</v>
      </c>
      <c r="G34" s="17">
        <v>0.79515418502202639</v>
      </c>
      <c r="H34" s="24">
        <v>0.8528138528138528</v>
      </c>
      <c r="I34" s="23">
        <v>0</v>
      </c>
      <c r="J34" s="59">
        <v>0.65032434525826588</v>
      </c>
      <c r="K34" s="91">
        <v>0.80942579433145467</v>
      </c>
      <c r="L34" s="23">
        <v>0</v>
      </c>
      <c r="M34" s="51">
        <v>1.5907221520995302E-2</v>
      </c>
      <c r="N34" s="60">
        <v>2.3519127894608499E-2</v>
      </c>
      <c r="O34" s="52">
        <v>9.2555930405826201E-3</v>
      </c>
      <c r="P34" s="43">
        <v>1.14144644435003E-2</v>
      </c>
      <c r="Q34" s="52">
        <v>8.3342838475033598E-2</v>
      </c>
      <c r="R34" s="43">
        <v>0.10539227355463</v>
      </c>
      <c r="S34" s="23">
        <v>0</v>
      </c>
      <c r="T34" s="44">
        <v>4.1702229475501701E-2</v>
      </c>
      <c r="U34" s="52">
        <v>5.1263469104420298E-2</v>
      </c>
      <c r="V34" s="42">
        <v>3.6395147313691499E-2</v>
      </c>
      <c r="W34" s="60">
        <v>3.2056990204808497E-2</v>
      </c>
      <c r="X34" s="23">
        <v>1</v>
      </c>
      <c r="Y34" s="190">
        <v>21</v>
      </c>
      <c r="Z34" s="311">
        <v>1</v>
      </c>
      <c r="AA34" s="312">
        <v>1</v>
      </c>
      <c r="AB34" s="188">
        <v>37</v>
      </c>
      <c r="AC34" s="187">
        <v>2</v>
      </c>
      <c r="AD34" s="52">
        <v>6.2711864406779658E-2</v>
      </c>
      <c r="AE34" s="408">
        <v>5.698198198198198</v>
      </c>
      <c r="AF34" s="375">
        <v>6.1111111111111107</v>
      </c>
      <c r="AG34" s="375">
        <v>5.6531531531531529</v>
      </c>
      <c r="AH34" s="375">
        <v>7.083333333333333</v>
      </c>
      <c r="AI34" s="375">
        <v>5.2477477477477477</v>
      </c>
      <c r="AJ34" s="375">
        <v>5</v>
      </c>
      <c r="AK34" s="375">
        <v>6.1936936936936933</v>
      </c>
      <c r="AL34" s="271">
        <v>6.25</v>
      </c>
      <c r="AM34" s="388">
        <v>1</v>
      </c>
      <c r="AN34" s="60">
        <v>0.43243243243243246</v>
      </c>
      <c r="AO34" s="23">
        <v>0</v>
      </c>
      <c r="AP34" s="52" t="s">
        <v>223</v>
      </c>
      <c r="AQ34" s="43">
        <v>0.5135135135135136</v>
      </c>
      <c r="AR34" s="23">
        <v>0</v>
      </c>
      <c r="AS34" s="24" t="s">
        <v>223</v>
      </c>
      <c r="AT34" s="43">
        <v>0.3783783783783784</v>
      </c>
      <c r="AU34" s="23">
        <v>0</v>
      </c>
      <c r="AV34" s="24" t="s">
        <v>223</v>
      </c>
      <c r="AW34" s="43">
        <v>0.43243243243243246</v>
      </c>
      <c r="AX34" s="23">
        <v>0</v>
      </c>
      <c r="AY34" s="24" t="s">
        <v>223</v>
      </c>
      <c r="AZ34" s="43">
        <v>0.48648648648648651</v>
      </c>
      <c r="BA34" s="23">
        <v>0</v>
      </c>
      <c r="BB34" s="24" t="s">
        <v>223</v>
      </c>
      <c r="BC34" s="43">
        <v>0.45945945945945948</v>
      </c>
      <c r="BD34" s="23">
        <v>0</v>
      </c>
      <c r="BE34" s="24" t="s">
        <v>223</v>
      </c>
      <c r="BF34" s="43">
        <v>0.48648648648648651</v>
      </c>
      <c r="BG34" s="23">
        <v>0</v>
      </c>
      <c r="BH34" s="91" t="s">
        <v>223</v>
      </c>
      <c r="BI34" s="44">
        <v>0.3783783783783784</v>
      </c>
      <c r="BJ34" s="23">
        <v>0</v>
      </c>
      <c r="BK34" s="145" t="s">
        <v>223</v>
      </c>
      <c r="BL34" s="471">
        <v>0</v>
      </c>
      <c r="BM34" s="523">
        <v>0</v>
      </c>
      <c r="BN34" s="285">
        <v>1</v>
      </c>
      <c r="BO34" s="190">
        <v>1</v>
      </c>
      <c r="BP34" s="25">
        <v>1</v>
      </c>
      <c r="BQ34" s="288">
        <v>2</v>
      </c>
      <c r="BR34" s="99"/>
      <c r="BS34" s="109">
        <v>6.7</v>
      </c>
      <c r="BT34" s="109" t="s">
        <v>389</v>
      </c>
      <c r="BU34" s="110">
        <v>5.0999999999999996</v>
      </c>
      <c r="BV34" s="110" t="s">
        <v>389</v>
      </c>
      <c r="BW34" s="110">
        <v>6.1</v>
      </c>
      <c r="BX34" s="110" t="s">
        <v>389</v>
      </c>
      <c r="BY34" s="110">
        <v>5.3</v>
      </c>
      <c r="BZ34" s="110" t="s">
        <v>389</v>
      </c>
      <c r="CA34" s="110">
        <v>4.8</v>
      </c>
      <c r="CB34" s="110" t="s">
        <v>389</v>
      </c>
      <c r="CC34" s="110">
        <v>5.2</v>
      </c>
      <c r="CD34" s="110" t="s">
        <v>389</v>
      </c>
      <c r="CE34" s="110">
        <v>6</v>
      </c>
      <c r="CF34" s="110" t="s">
        <v>389</v>
      </c>
      <c r="CG34" s="110">
        <v>6.2</v>
      </c>
      <c r="CH34" s="110">
        <v>6.8</v>
      </c>
      <c r="CI34" s="487">
        <v>5.2</v>
      </c>
      <c r="CJ34" s="409">
        <v>6.1</v>
      </c>
      <c r="CL34" s="267">
        <v>92</v>
      </c>
      <c r="CM34" s="119">
        <v>77</v>
      </c>
      <c r="CN34" s="124"/>
      <c r="CO34" s="125"/>
      <c r="CP34" s="126"/>
      <c r="CQ34" s="126"/>
    </row>
    <row r="35" spans="1:95" x14ac:dyDescent="0.25">
      <c r="A35" s="651"/>
      <c r="B35" s="33" t="s">
        <v>57</v>
      </c>
      <c r="C35" s="235">
        <v>274</v>
      </c>
      <c r="D35" s="246">
        <v>0.68442622950819676</v>
      </c>
      <c r="E35" s="24">
        <v>0.83895131086142327</v>
      </c>
      <c r="F35" s="23">
        <v>0</v>
      </c>
      <c r="G35" s="17">
        <v>0.92571428571428571</v>
      </c>
      <c r="H35" s="24">
        <v>0.78486055776892427</v>
      </c>
      <c r="I35" s="23">
        <v>1</v>
      </c>
      <c r="J35" s="59">
        <v>0.80507025761124118</v>
      </c>
      <c r="K35" s="91">
        <v>0.81190593431517377</v>
      </c>
      <c r="L35" s="23">
        <v>0</v>
      </c>
      <c r="M35" s="51">
        <v>1.8606898661267399E-2</v>
      </c>
      <c r="N35" s="60">
        <v>7.0309885784798996E-3</v>
      </c>
      <c r="O35" s="52">
        <v>1.1349294903679899E-2</v>
      </c>
      <c r="P35" s="43">
        <v>9.6180647144917895E-3</v>
      </c>
      <c r="Q35" s="52">
        <v>7.8558626071133897E-2</v>
      </c>
      <c r="R35" s="43">
        <v>7.2254106541876903E-2</v>
      </c>
      <c r="S35" s="23">
        <v>0</v>
      </c>
      <c r="T35" s="44">
        <v>3.7730957734187401E-2</v>
      </c>
      <c r="U35" s="52">
        <v>2.0908495391149404E-2</v>
      </c>
      <c r="V35" s="42">
        <v>5.1282051282051301E-2</v>
      </c>
      <c r="W35" s="60">
        <v>1.11731843575419E-2</v>
      </c>
      <c r="X35" s="23">
        <v>1</v>
      </c>
      <c r="Y35" s="190">
        <v>13</v>
      </c>
      <c r="Z35" s="311">
        <v>1</v>
      </c>
      <c r="AA35" s="312">
        <v>1</v>
      </c>
      <c r="AB35" s="188">
        <v>35</v>
      </c>
      <c r="AC35" s="187">
        <v>3</v>
      </c>
      <c r="AD35" s="52">
        <v>0.12773722627737227</v>
      </c>
      <c r="AE35" s="408">
        <v>6.833333333333333</v>
      </c>
      <c r="AF35" s="375">
        <v>6.9444444444444446</v>
      </c>
      <c r="AG35" s="375">
        <v>6.7619047619047619</v>
      </c>
      <c r="AH35" s="376">
        <v>6.1111111111111107</v>
      </c>
      <c r="AI35" s="375">
        <v>6.7619047619047619</v>
      </c>
      <c r="AJ35" s="376">
        <v>7.2222222222222223</v>
      </c>
      <c r="AK35" s="375">
        <v>6.9761904761904763</v>
      </c>
      <c r="AL35" s="111">
        <v>7.5</v>
      </c>
      <c r="AM35" s="386">
        <v>0.99543378995433784</v>
      </c>
      <c r="AN35" s="60">
        <v>0.65714285714285714</v>
      </c>
      <c r="AO35" s="23">
        <v>0</v>
      </c>
      <c r="AP35" s="52" t="s">
        <v>223</v>
      </c>
      <c r="AQ35" s="43">
        <v>0.6</v>
      </c>
      <c r="AR35" s="23">
        <v>0</v>
      </c>
      <c r="AS35" s="24" t="s">
        <v>223</v>
      </c>
      <c r="AT35" s="43">
        <v>0.51428571428571423</v>
      </c>
      <c r="AU35" s="23">
        <v>0</v>
      </c>
      <c r="AV35" s="24" t="s">
        <v>223</v>
      </c>
      <c r="AW35" s="43">
        <v>0.5714285714285714</v>
      </c>
      <c r="AX35" s="23">
        <v>0</v>
      </c>
      <c r="AY35" s="24" t="s">
        <v>223</v>
      </c>
      <c r="AZ35" s="43">
        <v>0.91428571428571426</v>
      </c>
      <c r="BA35" s="23">
        <v>1</v>
      </c>
      <c r="BB35" s="24" t="s">
        <v>223</v>
      </c>
      <c r="BC35" s="43">
        <v>0.54285714285714282</v>
      </c>
      <c r="BD35" s="23">
        <v>0</v>
      </c>
      <c r="BE35" s="24" t="s">
        <v>223</v>
      </c>
      <c r="BF35" s="43">
        <v>0.65714285714285714</v>
      </c>
      <c r="BG35" s="23">
        <v>0</v>
      </c>
      <c r="BH35" s="91" t="s">
        <v>223</v>
      </c>
      <c r="BI35" s="44">
        <v>0.6</v>
      </c>
      <c r="BJ35" s="23">
        <v>0</v>
      </c>
      <c r="BK35" s="145" t="s">
        <v>223</v>
      </c>
      <c r="BL35" s="471">
        <v>1</v>
      </c>
      <c r="BM35" s="523">
        <v>0</v>
      </c>
      <c r="BN35" s="285">
        <v>2</v>
      </c>
      <c r="BO35" s="190">
        <v>1</v>
      </c>
      <c r="BP35" s="275">
        <v>2</v>
      </c>
      <c r="BQ35" s="224">
        <v>3</v>
      </c>
      <c r="BR35" s="99"/>
      <c r="BS35" s="109">
        <v>7.6</v>
      </c>
      <c r="BT35" s="109" t="s">
        <v>389</v>
      </c>
      <c r="BU35" s="112">
        <v>6.3</v>
      </c>
      <c r="BV35" s="112" t="s">
        <v>389</v>
      </c>
      <c r="BW35" s="112">
        <v>7.1</v>
      </c>
      <c r="BX35" s="112" t="s">
        <v>389</v>
      </c>
      <c r="BY35" s="112">
        <v>5.9</v>
      </c>
      <c r="BZ35" s="112" t="s">
        <v>389</v>
      </c>
      <c r="CA35" s="112">
        <v>5.8</v>
      </c>
      <c r="CB35" s="112" t="s">
        <v>389</v>
      </c>
      <c r="CC35" s="112">
        <v>6.5</v>
      </c>
      <c r="CD35" s="112" t="s">
        <v>389</v>
      </c>
      <c r="CE35" s="112">
        <v>7</v>
      </c>
      <c r="CF35" s="112" t="s">
        <v>389</v>
      </c>
      <c r="CG35" s="112">
        <v>7.1</v>
      </c>
      <c r="CH35" s="112">
        <v>7.1</v>
      </c>
      <c r="CI35" s="488">
        <v>5.9</v>
      </c>
      <c r="CJ35" s="277">
        <v>6.2</v>
      </c>
      <c r="CL35" s="267">
        <v>26</v>
      </c>
      <c r="CM35" s="119">
        <v>12</v>
      </c>
      <c r="CN35" s="124"/>
      <c r="CO35" s="125"/>
      <c r="CP35" s="126"/>
      <c r="CQ35" s="126"/>
    </row>
    <row r="36" spans="1:95" ht="15.75" thickBot="1" x14ac:dyDescent="0.3">
      <c r="A36" s="652"/>
      <c r="B36" s="33" t="s">
        <v>58</v>
      </c>
      <c r="C36" s="235">
        <v>70</v>
      </c>
      <c r="D36" s="246">
        <v>0.62068965517241381</v>
      </c>
      <c r="E36" s="24">
        <v>0.8214285714285714</v>
      </c>
      <c r="F36" s="186">
        <v>0</v>
      </c>
      <c r="G36" s="17">
        <v>0.88571428571428568</v>
      </c>
      <c r="H36" s="24">
        <v>0.77083333333333337</v>
      </c>
      <c r="I36" s="186">
        <v>0</v>
      </c>
      <c r="J36" s="273">
        <v>0.75320197044334969</v>
      </c>
      <c r="K36" s="274">
        <v>0.79613095238095233</v>
      </c>
      <c r="L36" s="311">
        <v>0</v>
      </c>
      <c r="M36" s="51">
        <v>1.0765468595550901E-2</v>
      </c>
      <c r="N36" s="60">
        <v>8.9795192792437705E-3</v>
      </c>
      <c r="O36" s="52">
        <v>2.44669740807974E-3</v>
      </c>
      <c r="P36" s="43">
        <v>2.2942994716415401E-3</v>
      </c>
      <c r="Q36" s="52">
        <v>3.9028787308672999E-2</v>
      </c>
      <c r="R36" s="43">
        <v>4.2690443242738997E-2</v>
      </c>
      <c r="S36" s="23">
        <v>1</v>
      </c>
      <c r="T36" s="44">
        <v>9.54211989151099E-3</v>
      </c>
      <c r="U36" s="52">
        <v>8.9795192792437688E-3</v>
      </c>
      <c r="V36" s="42">
        <v>3.7037037037037E-2</v>
      </c>
      <c r="W36" s="60">
        <v>1.85185185185185E-2</v>
      </c>
      <c r="X36" s="23">
        <v>1</v>
      </c>
      <c r="Y36" s="190">
        <v>2</v>
      </c>
      <c r="Z36" s="311">
        <v>2</v>
      </c>
      <c r="AA36" s="312">
        <v>1</v>
      </c>
      <c r="AB36" s="188">
        <v>10</v>
      </c>
      <c r="AC36" s="187">
        <v>2</v>
      </c>
      <c r="AD36" s="52">
        <v>0.14285714285714285</v>
      </c>
      <c r="AE36" s="408">
        <v>6.4444444444444446</v>
      </c>
      <c r="AF36" s="375">
        <v>5.1388888888888893</v>
      </c>
      <c r="AG36" s="375">
        <v>6.5</v>
      </c>
      <c r="AH36" s="375">
        <v>4.166666666666667</v>
      </c>
      <c r="AI36" s="375">
        <v>5.916666666666667</v>
      </c>
      <c r="AJ36" s="375">
        <v>6.25</v>
      </c>
      <c r="AK36" s="375">
        <v>6.916666666666667</v>
      </c>
      <c r="AL36" s="271">
        <v>5</v>
      </c>
      <c r="AM36" s="388">
        <v>1</v>
      </c>
      <c r="AN36" s="60">
        <v>0.6</v>
      </c>
      <c r="AO36" s="23">
        <v>0</v>
      </c>
      <c r="AP36" s="52" t="s">
        <v>223</v>
      </c>
      <c r="AQ36" s="43">
        <v>0.6</v>
      </c>
      <c r="AR36" s="23">
        <v>0</v>
      </c>
      <c r="AS36" s="24" t="s">
        <v>223</v>
      </c>
      <c r="AT36" s="43">
        <v>0.5</v>
      </c>
      <c r="AU36" s="23">
        <v>0</v>
      </c>
      <c r="AV36" s="24" t="s">
        <v>223</v>
      </c>
      <c r="AW36" s="43">
        <v>0.6</v>
      </c>
      <c r="AX36" s="23">
        <v>0</v>
      </c>
      <c r="AY36" s="24" t="s">
        <v>223</v>
      </c>
      <c r="AZ36" s="43">
        <v>0.7</v>
      </c>
      <c r="BA36" s="23">
        <v>1</v>
      </c>
      <c r="BB36" s="24" t="s">
        <v>223</v>
      </c>
      <c r="BC36" s="43">
        <v>0.4</v>
      </c>
      <c r="BD36" s="23">
        <v>0</v>
      </c>
      <c r="BE36" s="24" t="s">
        <v>223</v>
      </c>
      <c r="BF36" s="43">
        <v>0.7</v>
      </c>
      <c r="BG36" s="23">
        <v>1</v>
      </c>
      <c r="BH36" s="91" t="s">
        <v>223</v>
      </c>
      <c r="BI36" s="153">
        <v>0.3</v>
      </c>
      <c r="BJ36" s="23">
        <v>0</v>
      </c>
      <c r="BK36" s="145" t="s">
        <v>223</v>
      </c>
      <c r="BL36" s="471">
        <v>2</v>
      </c>
      <c r="BM36" s="523">
        <v>0</v>
      </c>
      <c r="BN36" s="285">
        <v>4</v>
      </c>
      <c r="BO36" s="190">
        <v>1</v>
      </c>
      <c r="BP36" s="275">
        <v>4</v>
      </c>
      <c r="BQ36" s="224">
        <v>2</v>
      </c>
      <c r="BR36" s="99"/>
      <c r="BS36" s="109">
        <v>6.9</v>
      </c>
      <c r="BT36" s="109" t="s">
        <v>389</v>
      </c>
      <c r="BU36" s="112">
        <v>5.3</v>
      </c>
      <c r="BV36" s="112" t="s">
        <v>389</v>
      </c>
      <c r="BW36" s="112">
        <v>6.4</v>
      </c>
      <c r="BX36" s="112" t="s">
        <v>389</v>
      </c>
      <c r="BY36" s="112">
        <v>5.3</v>
      </c>
      <c r="BZ36" s="112" t="s">
        <v>389</v>
      </c>
      <c r="CA36" s="112">
        <v>5.0999999999999996</v>
      </c>
      <c r="CB36" s="112" t="s">
        <v>389</v>
      </c>
      <c r="CC36" s="112">
        <v>5.7</v>
      </c>
      <c r="CD36" s="112" t="s">
        <v>389</v>
      </c>
      <c r="CE36" s="112">
        <v>6.3</v>
      </c>
      <c r="CF36" s="112" t="s">
        <v>389</v>
      </c>
      <c r="CG36" s="112">
        <v>6.5</v>
      </c>
      <c r="CH36" s="112">
        <v>7</v>
      </c>
      <c r="CI36" s="488">
        <v>5.2</v>
      </c>
      <c r="CJ36" s="277">
        <v>6</v>
      </c>
      <c r="CK36" s="99"/>
      <c r="CL36" s="267">
        <v>9</v>
      </c>
      <c r="CM36" s="119">
        <v>4</v>
      </c>
      <c r="CN36" s="124"/>
      <c r="CO36" s="125"/>
      <c r="CP36" s="126"/>
      <c r="CQ36" s="128"/>
    </row>
    <row r="37" spans="1:95" ht="15" customHeight="1" x14ac:dyDescent="0.25">
      <c r="A37" s="653" t="s">
        <v>296</v>
      </c>
      <c r="B37" s="32" t="s">
        <v>62</v>
      </c>
      <c r="C37" s="235">
        <v>177</v>
      </c>
      <c r="D37" s="244">
        <v>0.58108108108108103</v>
      </c>
      <c r="E37" s="24">
        <v>0.61194029850746268</v>
      </c>
      <c r="F37" s="23">
        <v>0</v>
      </c>
      <c r="G37" s="24">
        <v>0.88181818181818183</v>
      </c>
      <c r="H37" s="24">
        <v>0.86363636363636365</v>
      </c>
      <c r="I37" s="23">
        <v>0</v>
      </c>
      <c r="J37" s="59">
        <v>0.73144963144963149</v>
      </c>
      <c r="K37" s="91">
        <v>0.73778833107191311</v>
      </c>
      <c r="L37" s="23">
        <v>0</v>
      </c>
      <c r="M37" s="42">
        <v>1.36839225126755E-2</v>
      </c>
      <c r="N37" s="60">
        <v>1.94674303575951E-2</v>
      </c>
      <c r="O37" s="43">
        <v>4.4903157822788996E-3</v>
      </c>
      <c r="P37" s="43">
        <v>5.5637116573689603E-3</v>
      </c>
      <c r="Q37" s="43">
        <v>6.6292762269045596E-2</v>
      </c>
      <c r="R37" s="43">
        <v>7.71962823759305E-2</v>
      </c>
      <c r="S37" s="23">
        <v>0</v>
      </c>
      <c r="T37" s="44">
        <v>2.8783428428644599E-2</v>
      </c>
      <c r="U37" s="43">
        <v>3.7564763602715101E-2</v>
      </c>
      <c r="V37" s="42">
        <v>1.9672131147540999E-2</v>
      </c>
      <c r="W37" s="60">
        <v>2.69360269360269E-2</v>
      </c>
      <c r="X37" s="23">
        <v>1</v>
      </c>
      <c r="Y37" s="190">
        <v>3</v>
      </c>
      <c r="Z37" s="309">
        <v>1</v>
      </c>
      <c r="AA37" s="310">
        <v>1</v>
      </c>
      <c r="AB37" s="190">
        <v>17</v>
      </c>
      <c r="AC37" s="25">
        <v>1</v>
      </c>
      <c r="AD37" s="43">
        <v>9.6045197740112997E-2</v>
      </c>
      <c r="AE37" s="408">
        <v>7.1568627450980395</v>
      </c>
      <c r="AF37" s="375">
        <v>6.9444444444444455</v>
      </c>
      <c r="AG37" s="375">
        <v>7.2549019607843137</v>
      </c>
      <c r="AH37" s="375">
        <v>8.3333333333333339</v>
      </c>
      <c r="AI37" s="375">
        <v>7.0098039215686274</v>
      </c>
      <c r="AJ37" s="375">
        <v>5</v>
      </c>
      <c r="AK37" s="375">
        <v>7.2058823529411766</v>
      </c>
      <c r="AL37" s="271">
        <v>7.5</v>
      </c>
      <c r="AM37" s="386">
        <v>0.92523364485981308</v>
      </c>
      <c r="AN37" s="60">
        <v>0.6470588235294118</v>
      </c>
      <c r="AO37" s="23">
        <v>0</v>
      </c>
      <c r="AP37" s="43" t="s">
        <v>223</v>
      </c>
      <c r="AQ37" s="43">
        <v>0.70588235294117652</v>
      </c>
      <c r="AR37" s="23">
        <v>1</v>
      </c>
      <c r="AS37" s="24" t="s">
        <v>223</v>
      </c>
      <c r="AT37" s="43">
        <v>0.41176470588235298</v>
      </c>
      <c r="AU37" s="23">
        <v>0</v>
      </c>
      <c r="AV37" s="24" t="s">
        <v>223</v>
      </c>
      <c r="AW37" s="43">
        <v>0.70588235294117641</v>
      </c>
      <c r="AX37" s="23">
        <v>1</v>
      </c>
      <c r="AY37" s="24" t="s">
        <v>223</v>
      </c>
      <c r="AZ37" s="43">
        <v>0.82352941176470584</v>
      </c>
      <c r="BA37" s="23">
        <v>1</v>
      </c>
      <c r="BB37" s="24" t="s">
        <v>223</v>
      </c>
      <c r="BC37" s="43">
        <v>0.6470588235294118</v>
      </c>
      <c r="BD37" s="23">
        <v>0</v>
      </c>
      <c r="BE37" s="24" t="s">
        <v>223</v>
      </c>
      <c r="BF37" s="43">
        <v>0.76470588235294124</v>
      </c>
      <c r="BG37" s="23">
        <v>1</v>
      </c>
      <c r="BH37" s="91" t="s">
        <v>223</v>
      </c>
      <c r="BI37" s="44">
        <v>0.58823529411764708</v>
      </c>
      <c r="BJ37" s="23">
        <v>0</v>
      </c>
      <c r="BK37" s="145" t="s">
        <v>223</v>
      </c>
      <c r="BL37" s="470">
        <v>4</v>
      </c>
      <c r="BM37" s="523">
        <v>0</v>
      </c>
      <c r="BN37" s="285">
        <v>5</v>
      </c>
      <c r="BO37" s="190">
        <v>1</v>
      </c>
      <c r="BP37" s="25">
        <v>4</v>
      </c>
      <c r="BQ37" s="289">
        <v>5</v>
      </c>
      <c r="BR37" s="99"/>
      <c r="BS37" s="109">
        <v>7.4</v>
      </c>
      <c r="BT37" s="109" t="s">
        <v>389</v>
      </c>
      <c r="BU37" s="110">
        <v>6.1</v>
      </c>
      <c r="BV37" s="110" t="s">
        <v>389</v>
      </c>
      <c r="BW37" s="110">
        <v>6.8</v>
      </c>
      <c r="BX37" s="110" t="s">
        <v>389</v>
      </c>
      <c r="BY37" s="110">
        <v>5.9</v>
      </c>
      <c r="BZ37" s="110" t="s">
        <v>389</v>
      </c>
      <c r="CA37" s="110">
        <v>5.6</v>
      </c>
      <c r="CB37" s="110" t="s">
        <v>389</v>
      </c>
      <c r="CC37" s="110">
        <v>6</v>
      </c>
      <c r="CD37" s="110" t="s">
        <v>389</v>
      </c>
      <c r="CE37" s="110">
        <v>6.6</v>
      </c>
      <c r="CF37" s="110" t="s">
        <v>389</v>
      </c>
      <c r="CG37" s="110">
        <v>6.8</v>
      </c>
      <c r="CH37" s="110">
        <v>7.2</v>
      </c>
      <c r="CI37" s="487">
        <v>5.7</v>
      </c>
      <c r="CJ37" s="409">
        <v>6.8</v>
      </c>
      <c r="CL37" s="266">
        <v>17</v>
      </c>
      <c r="CM37" s="119">
        <v>11</v>
      </c>
      <c r="CN37" s="120"/>
      <c r="CO37" s="121"/>
      <c r="CP37" s="122"/>
      <c r="CQ37" s="126"/>
    </row>
    <row r="38" spans="1:95" x14ac:dyDescent="0.25">
      <c r="A38" s="654"/>
      <c r="B38" s="33" t="s">
        <v>63</v>
      </c>
      <c r="C38" s="235">
        <v>45</v>
      </c>
      <c r="D38" s="246">
        <v>0.8</v>
      </c>
      <c r="E38" s="24">
        <v>0.90909090909090906</v>
      </c>
      <c r="F38" s="23">
        <v>0</v>
      </c>
      <c r="G38" s="17">
        <v>0.8928571428571429</v>
      </c>
      <c r="H38" s="24">
        <v>0.7857142857142857</v>
      </c>
      <c r="I38" s="23">
        <v>0</v>
      </c>
      <c r="J38" s="59">
        <v>0.84642857142857153</v>
      </c>
      <c r="K38" s="91">
        <v>0.84740259740259738</v>
      </c>
      <c r="L38" s="23">
        <v>0</v>
      </c>
      <c r="M38" s="51">
        <v>1.41314550913412E-2</v>
      </c>
      <c r="N38" s="60">
        <v>1.3625530049708E-2</v>
      </c>
      <c r="O38" s="52">
        <v>5.9766857514670403E-3</v>
      </c>
      <c r="P38" s="43">
        <v>2.5232618811920999E-3</v>
      </c>
      <c r="Q38" s="52">
        <v>6.7426415749422999E-2</v>
      </c>
      <c r="R38" s="43">
        <v>5.0709105277410599E-2</v>
      </c>
      <c r="S38" s="23">
        <v>0</v>
      </c>
      <c r="T38" s="44">
        <v>2.8316122608156299E-2</v>
      </c>
      <c r="U38" s="52">
        <v>3.2297667970529499E-2</v>
      </c>
      <c r="V38" s="171">
        <v>7.3170731707317097E-2</v>
      </c>
      <c r="W38" s="60">
        <v>2.3529411764705899E-2</v>
      </c>
      <c r="X38" s="23">
        <v>1</v>
      </c>
      <c r="Y38" s="190">
        <v>3</v>
      </c>
      <c r="Z38" s="311">
        <v>1</v>
      </c>
      <c r="AA38" s="312">
        <v>1</v>
      </c>
      <c r="AB38" s="188">
        <v>8</v>
      </c>
      <c r="AC38" s="187">
        <v>1</v>
      </c>
      <c r="AD38" s="52">
        <v>0.17777777777777778</v>
      </c>
      <c r="AE38" s="408">
        <v>7.1875</v>
      </c>
      <c r="AF38" s="375">
        <v>5</v>
      </c>
      <c r="AG38" s="375">
        <v>6.875</v>
      </c>
      <c r="AH38" s="375">
        <v>5.833333333333333</v>
      </c>
      <c r="AI38" s="375">
        <v>7.395833333333333</v>
      </c>
      <c r="AJ38" s="375">
        <v>5</v>
      </c>
      <c r="AK38" s="375">
        <v>7.291666666666667</v>
      </c>
      <c r="AL38" s="271">
        <v>4.166666666666667</v>
      </c>
      <c r="AM38" s="386">
        <v>1</v>
      </c>
      <c r="AN38" s="208">
        <v>0.75</v>
      </c>
      <c r="AO38" s="150">
        <v>1</v>
      </c>
      <c r="AP38" s="150" t="s">
        <v>223</v>
      </c>
      <c r="AQ38" s="149">
        <v>0.625</v>
      </c>
      <c r="AR38" s="150">
        <v>0</v>
      </c>
      <c r="AS38" s="24" t="s">
        <v>223</v>
      </c>
      <c r="AT38" s="149">
        <v>0.625</v>
      </c>
      <c r="AU38" s="150">
        <v>0</v>
      </c>
      <c r="AV38" s="24" t="s">
        <v>223</v>
      </c>
      <c r="AW38" s="149">
        <v>0.875</v>
      </c>
      <c r="AX38" s="150">
        <v>1</v>
      </c>
      <c r="AY38" s="24" t="s">
        <v>223</v>
      </c>
      <c r="AZ38" s="149">
        <v>0.625</v>
      </c>
      <c r="BA38" s="150">
        <v>0</v>
      </c>
      <c r="BB38" s="24" t="s">
        <v>223</v>
      </c>
      <c r="BC38" s="149">
        <v>0.875</v>
      </c>
      <c r="BD38" s="150">
        <v>1</v>
      </c>
      <c r="BE38" s="24" t="s">
        <v>223</v>
      </c>
      <c r="BF38" s="149">
        <v>1</v>
      </c>
      <c r="BG38" s="150">
        <v>1</v>
      </c>
      <c r="BH38" s="91" t="s">
        <v>223</v>
      </c>
      <c r="BI38" s="149">
        <v>0.5</v>
      </c>
      <c r="BJ38" s="23">
        <v>0</v>
      </c>
      <c r="BK38" s="145" t="s">
        <v>223</v>
      </c>
      <c r="BL38" s="472">
        <v>4</v>
      </c>
      <c r="BM38" s="524">
        <v>0</v>
      </c>
      <c r="BN38" s="285">
        <v>5</v>
      </c>
      <c r="BO38" s="190">
        <v>1</v>
      </c>
      <c r="BP38" s="25">
        <v>3</v>
      </c>
      <c r="BQ38" s="288">
        <v>6</v>
      </c>
      <c r="BR38" s="99"/>
      <c r="BS38" s="109">
        <v>7.1</v>
      </c>
      <c r="BT38" s="109" t="s">
        <v>389</v>
      </c>
      <c r="BU38" s="110">
        <v>5.7</v>
      </c>
      <c r="BV38" s="112" t="s">
        <v>389</v>
      </c>
      <c r="BW38" s="110">
        <v>6.5</v>
      </c>
      <c r="BX38" s="112" t="s">
        <v>389</v>
      </c>
      <c r="BY38" s="110">
        <v>5.8</v>
      </c>
      <c r="BZ38" s="112" t="s">
        <v>389</v>
      </c>
      <c r="CA38" s="110">
        <v>5</v>
      </c>
      <c r="CB38" s="112" t="s">
        <v>389</v>
      </c>
      <c r="CC38" s="110">
        <v>5.3</v>
      </c>
      <c r="CD38" s="112" t="s">
        <v>389</v>
      </c>
      <c r="CE38" s="110">
        <v>6.2</v>
      </c>
      <c r="CF38" s="112" t="s">
        <v>389</v>
      </c>
      <c r="CG38" s="110">
        <v>6.8</v>
      </c>
      <c r="CH38" s="112">
        <v>7</v>
      </c>
      <c r="CI38" s="487">
        <v>5.7</v>
      </c>
      <c r="CJ38" s="277">
        <v>6.5</v>
      </c>
      <c r="CL38" s="267">
        <v>4</v>
      </c>
      <c r="CM38" s="119">
        <v>1</v>
      </c>
      <c r="CN38" s="124"/>
      <c r="CO38" s="125"/>
      <c r="CP38" s="126"/>
      <c r="CQ38" s="126"/>
    </row>
    <row r="39" spans="1:95" x14ac:dyDescent="0.25">
      <c r="A39" s="654"/>
      <c r="B39" s="33" t="s">
        <v>64</v>
      </c>
      <c r="C39" s="235">
        <v>86</v>
      </c>
      <c r="D39" s="246">
        <v>0.61445783132530118</v>
      </c>
      <c r="E39" s="24">
        <v>0.79761904761904767</v>
      </c>
      <c r="F39" s="23">
        <v>0</v>
      </c>
      <c r="G39" s="17">
        <v>0.92957746478873238</v>
      </c>
      <c r="H39" s="24">
        <v>0.90243902439024393</v>
      </c>
      <c r="I39" s="23">
        <v>1</v>
      </c>
      <c r="J39" s="59">
        <v>0.77201764805701678</v>
      </c>
      <c r="K39" s="91">
        <v>0.85002903600464585</v>
      </c>
      <c r="L39" s="23">
        <v>0</v>
      </c>
      <c r="M39" s="51">
        <v>8.6141368534137994E-3</v>
      </c>
      <c r="N39" s="60">
        <v>1.1296723329219299E-2</v>
      </c>
      <c r="O39" s="52">
        <v>6.3738459760366798E-3</v>
      </c>
      <c r="P39" s="43">
        <v>1.09902432205575E-2</v>
      </c>
      <c r="Q39" s="52">
        <v>3.73197460901439E-2</v>
      </c>
      <c r="R39" s="43">
        <v>7.42311228302725E-2</v>
      </c>
      <c r="S39" s="23">
        <v>1</v>
      </c>
      <c r="T39" s="44">
        <v>1.48617683700598E-2</v>
      </c>
      <c r="U39" s="52">
        <v>2.8179027176157997E-2</v>
      </c>
      <c r="V39" s="42">
        <v>2.3809523809523801E-2</v>
      </c>
      <c r="W39" s="60">
        <v>0</v>
      </c>
      <c r="X39" s="23">
        <v>1</v>
      </c>
      <c r="Y39" s="190">
        <v>2</v>
      </c>
      <c r="Z39" s="311">
        <v>2</v>
      </c>
      <c r="AA39" s="312">
        <v>1</v>
      </c>
      <c r="AB39" s="188">
        <v>24</v>
      </c>
      <c r="AC39" s="187">
        <v>2</v>
      </c>
      <c r="AD39" s="52">
        <v>0.27906976744186046</v>
      </c>
      <c r="AE39" s="408">
        <v>7.3611111111111098</v>
      </c>
      <c r="AF39" s="375">
        <v>7.2222222222222241</v>
      </c>
      <c r="AG39" s="375">
        <v>7.083333333333333</v>
      </c>
      <c r="AH39" s="376">
        <v>6.25</v>
      </c>
      <c r="AI39" s="375">
        <v>7.4652777777777777</v>
      </c>
      <c r="AJ39" s="376">
        <v>7.083333333333333</v>
      </c>
      <c r="AK39" s="375">
        <v>7.5347222222222223</v>
      </c>
      <c r="AL39" s="111">
        <v>8.3333333333333339</v>
      </c>
      <c r="AM39" s="386">
        <v>1</v>
      </c>
      <c r="AN39" s="60">
        <v>0.75</v>
      </c>
      <c r="AO39" s="23">
        <v>1</v>
      </c>
      <c r="AP39" s="52" t="s">
        <v>223</v>
      </c>
      <c r="AQ39" s="43">
        <v>0.66666666666666663</v>
      </c>
      <c r="AR39" s="23">
        <v>0</v>
      </c>
      <c r="AS39" s="24" t="s">
        <v>223</v>
      </c>
      <c r="AT39" s="43">
        <v>0.70833333333333326</v>
      </c>
      <c r="AU39" s="23">
        <v>1</v>
      </c>
      <c r="AV39" s="24" t="s">
        <v>223</v>
      </c>
      <c r="AW39" s="43">
        <v>0.79166666666666663</v>
      </c>
      <c r="AX39" s="23">
        <v>1</v>
      </c>
      <c r="AY39" s="24" t="s">
        <v>223</v>
      </c>
      <c r="AZ39" s="43">
        <v>0.83333333333333337</v>
      </c>
      <c r="BA39" s="23">
        <v>1</v>
      </c>
      <c r="BB39" s="24" t="s">
        <v>223</v>
      </c>
      <c r="BC39" s="43">
        <v>0.83333333333333337</v>
      </c>
      <c r="BD39" s="23">
        <v>1</v>
      </c>
      <c r="BE39" s="24" t="s">
        <v>223</v>
      </c>
      <c r="BF39" s="43">
        <v>0.875</v>
      </c>
      <c r="BG39" s="23">
        <v>1</v>
      </c>
      <c r="BH39" s="91" t="s">
        <v>223</v>
      </c>
      <c r="BI39" s="44">
        <v>0.75</v>
      </c>
      <c r="BJ39" s="23">
        <v>1</v>
      </c>
      <c r="BK39" s="145" t="s">
        <v>223</v>
      </c>
      <c r="BL39" s="471">
        <v>7</v>
      </c>
      <c r="BM39" s="523">
        <v>0</v>
      </c>
      <c r="BN39" s="285">
        <v>9</v>
      </c>
      <c r="BO39" s="190">
        <v>1</v>
      </c>
      <c r="BP39" s="25">
        <v>9</v>
      </c>
      <c r="BQ39" s="288">
        <v>5</v>
      </c>
      <c r="BR39" s="99"/>
      <c r="BS39" s="109">
        <v>7.4</v>
      </c>
      <c r="BT39" s="109" t="s">
        <v>389</v>
      </c>
      <c r="BU39" s="110">
        <v>6.1</v>
      </c>
      <c r="BV39" s="110" t="s">
        <v>389</v>
      </c>
      <c r="BW39" s="110">
        <v>6.8</v>
      </c>
      <c r="BX39" s="110" t="s">
        <v>389</v>
      </c>
      <c r="BY39" s="110">
        <v>5.9</v>
      </c>
      <c r="BZ39" s="110" t="s">
        <v>389</v>
      </c>
      <c r="CA39" s="110">
        <v>5.6</v>
      </c>
      <c r="CB39" s="110" t="s">
        <v>389</v>
      </c>
      <c r="CC39" s="110">
        <v>6</v>
      </c>
      <c r="CD39" s="110" t="s">
        <v>389</v>
      </c>
      <c r="CE39" s="110">
        <v>6.6</v>
      </c>
      <c r="CF39" s="110" t="s">
        <v>389</v>
      </c>
      <c r="CG39" s="110">
        <v>6.8</v>
      </c>
      <c r="CH39" s="110">
        <v>7.2</v>
      </c>
      <c r="CI39" s="487">
        <v>5.7</v>
      </c>
      <c r="CJ39" s="409">
        <v>6.8</v>
      </c>
      <c r="CL39" s="267">
        <v>5</v>
      </c>
      <c r="CM39" s="119">
        <v>2</v>
      </c>
      <c r="CN39" s="124"/>
      <c r="CO39" s="125"/>
      <c r="CP39" s="126"/>
      <c r="CQ39" s="126"/>
    </row>
    <row r="40" spans="1:95" x14ac:dyDescent="0.25">
      <c r="A40" s="654"/>
      <c r="B40" s="33" t="s">
        <v>65</v>
      </c>
      <c r="C40" s="235">
        <v>154</v>
      </c>
      <c r="D40" s="246">
        <v>0.5490196078431373</v>
      </c>
      <c r="E40" s="24">
        <v>0.78431372549019607</v>
      </c>
      <c r="F40" s="23">
        <v>0</v>
      </c>
      <c r="G40" s="17">
        <v>0.76923076923076927</v>
      </c>
      <c r="H40" s="24">
        <v>0.63829787234042556</v>
      </c>
      <c r="I40" s="23">
        <v>0</v>
      </c>
      <c r="J40" s="59">
        <v>0.65912518853695334</v>
      </c>
      <c r="K40" s="91">
        <v>0.71130579891531087</v>
      </c>
      <c r="L40" s="23">
        <v>0</v>
      </c>
      <c r="M40" s="51">
        <v>1.8936283524636E-2</v>
      </c>
      <c r="N40" s="60">
        <v>3.1222927138430102E-2</v>
      </c>
      <c r="O40" s="52">
        <v>0</v>
      </c>
      <c r="P40" s="43">
        <v>1.17550262184077E-3</v>
      </c>
      <c r="Q40" s="52">
        <v>5.5265602699752302E-2</v>
      </c>
      <c r="R40" s="43">
        <v>9.6115823005246695E-2</v>
      </c>
      <c r="S40" s="23">
        <v>0</v>
      </c>
      <c r="T40" s="44">
        <v>3.04217366580894E-2</v>
      </c>
      <c r="U40" s="52">
        <v>4.04661232744997E-2</v>
      </c>
      <c r="V40" s="42">
        <v>5.8252427184466E-2</v>
      </c>
      <c r="W40" s="60">
        <v>1.9047619047619001E-2</v>
      </c>
      <c r="X40" s="23">
        <v>1</v>
      </c>
      <c r="Y40" s="190">
        <v>3</v>
      </c>
      <c r="Z40" s="311">
        <v>1</v>
      </c>
      <c r="AA40" s="312">
        <v>1</v>
      </c>
      <c r="AB40" s="188">
        <v>8</v>
      </c>
      <c r="AC40" s="187">
        <v>0</v>
      </c>
      <c r="AD40" s="52">
        <v>5.1948051948051951E-2</v>
      </c>
      <c r="AE40" s="388">
        <v>6.875</v>
      </c>
      <c r="AF40" s="375"/>
      <c r="AG40" s="387">
        <v>6.5625</v>
      </c>
      <c r="AH40" s="375"/>
      <c r="AI40" s="387">
        <v>6.666666666666667</v>
      </c>
      <c r="AJ40" s="375"/>
      <c r="AK40" s="387">
        <v>7.395833333333333</v>
      </c>
      <c r="AL40" s="271"/>
      <c r="AM40" s="386">
        <v>1</v>
      </c>
      <c r="AN40" s="208">
        <v>0.375</v>
      </c>
      <c r="AO40" s="150">
        <v>0</v>
      </c>
      <c r="AP40" s="150" t="s">
        <v>223</v>
      </c>
      <c r="AQ40" s="149">
        <v>0.625</v>
      </c>
      <c r="AR40" s="150">
        <v>0</v>
      </c>
      <c r="AS40" s="24" t="s">
        <v>223</v>
      </c>
      <c r="AT40" s="149">
        <v>0.25</v>
      </c>
      <c r="AU40" s="150">
        <v>0</v>
      </c>
      <c r="AV40" s="24" t="s">
        <v>223</v>
      </c>
      <c r="AW40" s="149">
        <v>0.5</v>
      </c>
      <c r="AX40" s="150">
        <v>0</v>
      </c>
      <c r="AY40" s="24" t="s">
        <v>223</v>
      </c>
      <c r="AZ40" s="149">
        <v>0.375</v>
      </c>
      <c r="BA40" s="150">
        <v>0</v>
      </c>
      <c r="BB40" s="24" t="s">
        <v>223</v>
      </c>
      <c r="BC40" s="149">
        <v>0.5</v>
      </c>
      <c r="BD40" s="150">
        <v>0</v>
      </c>
      <c r="BE40" s="24" t="s">
        <v>223</v>
      </c>
      <c r="BF40" s="149">
        <v>0.75</v>
      </c>
      <c r="BG40" s="150">
        <v>1</v>
      </c>
      <c r="BH40" s="91" t="s">
        <v>223</v>
      </c>
      <c r="BI40" s="149">
        <v>0.375</v>
      </c>
      <c r="BJ40" s="23">
        <v>0</v>
      </c>
      <c r="BK40" s="145" t="s">
        <v>223</v>
      </c>
      <c r="BL40" s="472">
        <v>1</v>
      </c>
      <c r="BM40" s="524">
        <v>0</v>
      </c>
      <c r="BN40" s="285">
        <v>2</v>
      </c>
      <c r="BO40" s="190">
        <v>1</v>
      </c>
      <c r="BP40" s="25">
        <v>2</v>
      </c>
      <c r="BQ40" s="288">
        <v>1</v>
      </c>
      <c r="BR40" s="99"/>
      <c r="BS40" s="109">
        <v>7.1</v>
      </c>
      <c r="BT40" s="109" t="s">
        <v>389</v>
      </c>
      <c r="BU40" s="112">
        <v>5.7</v>
      </c>
      <c r="BV40" s="112" t="s">
        <v>389</v>
      </c>
      <c r="BW40" s="112">
        <v>6.5</v>
      </c>
      <c r="BX40" s="112" t="s">
        <v>389</v>
      </c>
      <c r="BY40" s="112">
        <v>5.8</v>
      </c>
      <c r="BZ40" s="112" t="s">
        <v>389</v>
      </c>
      <c r="CA40" s="112">
        <v>5</v>
      </c>
      <c r="CB40" s="112" t="s">
        <v>389</v>
      </c>
      <c r="CC40" s="112">
        <v>5.3</v>
      </c>
      <c r="CD40" s="112" t="s">
        <v>389</v>
      </c>
      <c r="CE40" s="112">
        <v>6.2</v>
      </c>
      <c r="CF40" s="112" t="s">
        <v>389</v>
      </c>
      <c r="CG40" s="112">
        <v>6.8</v>
      </c>
      <c r="CH40" s="112">
        <v>7</v>
      </c>
      <c r="CI40" s="488">
        <v>5.7</v>
      </c>
      <c r="CJ40" s="277">
        <v>6.2</v>
      </c>
      <c r="CL40" s="267">
        <v>3</v>
      </c>
      <c r="CM40" s="119">
        <v>2</v>
      </c>
      <c r="CN40" s="124"/>
      <c r="CO40" s="125"/>
      <c r="CP40" s="126"/>
      <c r="CQ40" s="126"/>
    </row>
    <row r="41" spans="1:95" x14ac:dyDescent="0.25">
      <c r="A41" s="654"/>
      <c r="B41" s="33" t="s">
        <v>66</v>
      </c>
      <c r="C41" s="235">
        <v>137</v>
      </c>
      <c r="D41" s="246">
        <v>0.61682242990654201</v>
      </c>
      <c r="E41" s="24">
        <v>0.75961538461538458</v>
      </c>
      <c r="F41" s="23">
        <v>0</v>
      </c>
      <c r="G41" s="17">
        <v>0.97530864197530864</v>
      </c>
      <c r="H41" s="24">
        <v>0.85</v>
      </c>
      <c r="I41" s="23">
        <v>1</v>
      </c>
      <c r="J41" s="59">
        <v>0.79606553594092533</v>
      </c>
      <c r="K41" s="91">
        <v>0.80480769230769234</v>
      </c>
      <c r="L41" s="23">
        <v>0</v>
      </c>
      <c r="M41" s="51">
        <v>2.10693007747089E-2</v>
      </c>
      <c r="N41" s="60">
        <v>1.7279983701633101E-2</v>
      </c>
      <c r="O41" s="52">
        <v>9.4684950088135203E-5</v>
      </c>
      <c r="P41" s="43">
        <v>2.5449783295240297E-4</v>
      </c>
      <c r="Q41" s="52">
        <v>6.4469569815556002E-2</v>
      </c>
      <c r="R41" s="43">
        <v>5.7482110265285102E-2</v>
      </c>
      <c r="S41" s="23">
        <v>0</v>
      </c>
      <c r="T41" s="44">
        <v>3.5970145009584502E-2</v>
      </c>
      <c r="U41" s="52">
        <v>3.0004116631382298E-2</v>
      </c>
      <c r="V41" s="42">
        <v>2.8846153846153799E-2</v>
      </c>
      <c r="W41" s="60">
        <v>3.8461538461538498E-2</v>
      </c>
      <c r="X41" s="23">
        <v>1</v>
      </c>
      <c r="Y41" s="190">
        <v>3</v>
      </c>
      <c r="Z41" s="311">
        <v>1</v>
      </c>
      <c r="AA41" s="312">
        <v>1</v>
      </c>
      <c r="AB41" s="188">
        <v>12</v>
      </c>
      <c r="AC41" s="187">
        <v>0</v>
      </c>
      <c r="AD41" s="52">
        <v>8.7591240875912413E-2</v>
      </c>
      <c r="AE41" s="388">
        <v>7.916666666666667</v>
      </c>
      <c r="AF41" s="375"/>
      <c r="AG41" s="387">
        <v>7.708333333333333</v>
      </c>
      <c r="AH41" s="376"/>
      <c r="AI41" s="387">
        <v>7.9861111111111107</v>
      </c>
      <c r="AJ41" s="376"/>
      <c r="AK41" s="387">
        <v>8.0555555555555554</v>
      </c>
      <c r="AL41" s="111"/>
      <c r="AM41" s="386">
        <v>0.97916666666666663</v>
      </c>
      <c r="AN41" s="208">
        <v>0.83333333333333326</v>
      </c>
      <c r="AO41" s="150">
        <v>1</v>
      </c>
      <c r="AP41" s="150" t="s">
        <v>223</v>
      </c>
      <c r="AQ41" s="149">
        <v>0.75</v>
      </c>
      <c r="AR41" s="150">
        <v>1</v>
      </c>
      <c r="AS41" s="24" t="s">
        <v>223</v>
      </c>
      <c r="AT41" s="149">
        <v>0.66666666666666674</v>
      </c>
      <c r="AU41" s="150">
        <v>0</v>
      </c>
      <c r="AV41" s="24" t="s">
        <v>223</v>
      </c>
      <c r="AW41" s="149">
        <v>0.91666666666666674</v>
      </c>
      <c r="AX41" s="150">
        <v>1</v>
      </c>
      <c r="AY41" s="24" t="s">
        <v>223</v>
      </c>
      <c r="AZ41" s="149">
        <v>0.91666666666666674</v>
      </c>
      <c r="BA41" s="150">
        <v>1</v>
      </c>
      <c r="BB41" s="24" t="s">
        <v>223</v>
      </c>
      <c r="BC41" s="149">
        <v>1</v>
      </c>
      <c r="BD41" s="150">
        <v>1</v>
      </c>
      <c r="BE41" s="24" t="s">
        <v>223</v>
      </c>
      <c r="BF41" s="149">
        <v>1</v>
      </c>
      <c r="BG41" s="150">
        <v>1</v>
      </c>
      <c r="BH41" s="91" t="s">
        <v>223</v>
      </c>
      <c r="BI41" s="149">
        <v>0.66666666666666674</v>
      </c>
      <c r="BJ41" s="23">
        <v>0</v>
      </c>
      <c r="BK41" s="145" t="s">
        <v>223</v>
      </c>
      <c r="BL41" s="472">
        <v>6</v>
      </c>
      <c r="BM41" s="524">
        <v>0</v>
      </c>
      <c r="BN41" s="285">
        <v>7</v>
      </c>
      <c r="BO41" s="190">
        <v>1</v>
      </c>
      <c r="BP41" s="25">
        <v>1</v>
      </c>
      <c r="BQ41" s="288">
        <v>3</v>
      </c>
      <c r="BR41" s="99"/>
      <c r="BS41" s="109">
        <v>7.1</v>
      </c>
      <c r="BT41" s="109" t="s">
        <v>389</v>
      </c>
      <c r="BU41" s="110">
        <v>5.7</v>
      </c>
      <c r="BV41" s="112" t="s">
        <v>389</v>
      </c>
      <c r="BW41" s="110">
        <v>6.5</v>
      </c>
      <c r="BX41" s="112" t="s">
        <v>389</v>
      </c>
      <c r="BY41" s="110">
        <v>5.8</v>
      </c>
      <c r="BZ41" s="112" t="s">
        <v>389</v>
      </c>
      <c r="CA41" s="110">
        <v>5</v>
      </c>
      <c r="CB41" s="112" t="s">
        <v>389</v>
      </c>
      <c r="CC41" s="110">
        <v>5.3</v>
      </c>
      <c r="CD41" s="112" t="s">
        <v>389</v>
      </c>
      <c r="CE41" s="110">
        <v>6.2</v>
      </c>
      <c r="CF41" s="112" t="s">
        <v>389</v>
      </c>
      <c r="CG41" s="110">
        <v>6.8</v>
      </c>
      <c r="CH41" s="112">
        <v>7</v>
      </c>
      <c r="CI41" s="487">
        <v>5.7</v>
      </c>
      <c r="CJ41" s="277">
        <v>6.5</v>
      </c>
      <c r="CL41" s="267">
        <v>34</v>
      </c>
      <c r="CM41" s="119">
        <v>20</v>
      </c>
      <c r="CN41" s="124"/>
      <c r="CO41" s="125"/>
      <c r="CP41" s="126"/>
      <c r="CQ41" s="126"/>
    </row>
    <row r="42" spans="1:95" x14ac:dyDescent="0.25">
      <c r="A42" s="654"/>
      <c r="B42" s="33" t="s">
        <v>67</v>
      </c>
      <c r="C42" s="235">
        <v>208</v>
      </c>
      <c r="D42" s="246">
        <v>0.57978723404255317</v>
      </c>
      <c r="E42" s="24">
        <v>0.69948186528497414</v>
      </c>
      <c r="F42" s="23">
        <v>0</v>
      </c>
      <c r="G42" s="17">
        <v>0.87341772151898733</v>
      </c>
      <c r="H42" s="24">
        <v>0.80368098159509205</v>
      </c>
      <c r="I42" s="23">
        <v>0</v>
      </c>
      <c r="J42" s="59">
        <v>0.72660247778077025</v>
      </c>
      <c r="K42" s="91">
        <v>0.75158142344003309</v>
      </c>
      <c r="L42" s="23">
        <v>0</v>
      </c>
      <c r="M42" s="51">
        <v>1.83315570312639E-2</v>
      </c>
      <c r="N42" s="60">
        <v>2.2719634230046099E-2</v>
      </c>
      <c r="O42" s="52">
        <v>6.1096863294596796E-3</v>
      </c>
      <c r="P42" s="43">
        <v>8.9912413651881892E-3</v>
      </c>
      <c r="Q42" s="52">
        <v>6.5466390653293502E-2</v>
      </c>
      <c r="R42" s="43">
        <v>7.2477531791384706E-2</v>
      </c>
      <c r="S42" s="23">
        <v>0</v>
      </c>
      <c r="T42" s="44">
        <v>3.1650238622932599E-2</v>
      </c>
      <c r="U42" s="52">
        <v>3.0939892065744799E-2</v>
      </c>
      <c r="V42" s="42">
        <v>2.04081632653061E-2</v>
      </c>
      <c r="W42" s="60">
        <v>3.0456852791878201E-2</v>
      </c>
      <c r="X42" s="23">
        <v>1</v>
      </c>
      <c r="Y42" s="190">
        <v>4</v>
      </c>
      <c r="Z42" s="311">
        <v>1</v>
      </c>
      <c r="AA42" s="312">
        <v>1</v>
      </c>
      <c r="AB42" s="188">
        <v>56</v>
      </c>
      <c r="AC42" s="187">
        <v>1</v>
      </c>
      <c r="AD42" s="52">
        <v>0.26923076923076922</v>
      </c>
      <c r="AE42" s="408">
        <v>6.2450396825396828</v>
      </c>
      <c r="AF42" s="375">
        <v>7.2222222222222214</v>
      </c>
      <c r="AG42" s="375">
        <v>6.4732142857142856</v>
      </c>
      <c r="AH42" s="375">
        <v>8.3333333333333339</v>
      </c>
      <c r="AI42" s="375">
        <v>5.9375</v>
      </c>
      <c r="AJ42" s="375">
        <v>7.5</v>
      </c>
      <c r="AK42" s="375">
        <v>6.3244047619047619</v>
      </c>
      <c r="AL42" s="271">
        <v>5.833333333333333</v>
      </c>
      <c r="AM42" s="386">
        <v>0.97865853658536583</v>
      </c>
      <c r="AN42" s="60">
        <v>0.5357142857142857</v>
      </c>
      <c r="AO42" s="23">
        <v>0</v>
      </c>
      <c r="AP42" s="52" t="s">
        <v>223</v>
      </c>
      <c r="AQ42" s="43">
        <v>0.6428571428571429</v>
      </c>
      <c r="AR42" s="23">
        <v>0</v>
      </c>
      <c r="AS42" s="24" t="s">
        <v>223</v>
      </c>
      <c r="AT42" s="43">
        <v>0.42857142857142855</v>
      </c>
      <c r="AU42" s="23">
        <v>0</v>
      </c>
      <c r="AV42" s="24" t="s">
        <v>223</v>
      </c>
      <c r="AW42" s="43">
        <v>0.5535714285714286</v>
      </c>
      <c r="AX42" s="23">
        <v>0</v>
      </c>
      <c r="AY42" s="24" t="s">
        <v>223</v>
      </c>
      <c r="AZ42" s="43">
        <v>0.85714285714285721</v>
      </c>
      <c r="BA42" s="23">
        <v>1</v>
      </c>
      <c r="BB42" s="24" t="s">
        <v>223</v>
      </c>
      <c r="BC42" s="43">
        <v>0.5357142857142857</v>
      </c>
      <c r="BD42" s="23">
        <v>0</v>
      </c>
      <c r="BE42" s="24" t="s">
        <v>223</v>
      </c>
      <c r="BF42" s="43">
        <v>0.5892857142857143</v>
      </c>
      <c r="BG42" s="23">
        <v>0</v>
      </c>
      <c r="BH42" s="91" t="s">
        <v>223</v>
      </c>
      <c r="BI42" s="44">
        <v>0.7142857142857143</v>
      </c>
      <c r="BJ42" s="23">
        <v>1</v>
      </c>
      <c r="BK42" s="145" t="s">
        <v>223</v>
      </c>
      <c r="BL42" s="471">
        <v>2</v>
      </c>
      <c r="BM42" s="523">
        <v>0</v>
      </c>
      <c r="BN42" s="285">
        <v>3</v>
      </c>
      <c r="BO42" s="190">
        <v>1</v>
      </c>
      <c r="BP42" s="25">
        <v>3</v>
      </c>
      <c r="BQ42" s="288">
        <v>3</v>
      </c>
      <c r="BR42" s="99"/>
      <c r="BS42" s="109">
        <v>6.7</v>
      </c>
      <c r="BT42" s="109" t="s">
        <v>389</v>
      </c>
      <c r="BU42" s="112">
        <v>5.0999999999999996</v>
      </c>
      <c r="BV42" s="112" t="s">
        <v>389</v>
      </c>
      <c r="BW42" s="112">
        <v>6.3</v>
      </c>
      <c r="BX42" s="112" t="s">
        <v>389</v>
      </c>
      <c r="BY42" s="112">
        <v>4.5</v>
      </c>
      <c r="BZ42" s="112" t="s">
        <v>389</v>
      </c>
      <c r="CA42" s="112">
        <v>4.8</v>
      </c>
      <c r="CB42" s="112" t="s">
        <v>389</v>
      </c>
      <c r="CC42" s="112">
        <v>3.3</v>
      </c>
      <c r="CD42" s="112" t="s">
        <v>389</v>
      </c>
      <c r="CE42" s="112">
        <v>5.6</v>
      </c>
      <c r="CF42" s="112" t="s">
        <v>389</v>
      </c>
      <c r="CG42" s="112">
        <v>6.2</v>
      </c>
      <c r="CH42" s="112">
        <v>6.4</v>
      </c>
      <c r="CI42" s="488">
        <v>4.3</v>
      </c>
      <c r="CJ42" s="277">
        <v>5.4</v>
      </c>
      <c r="CL42" s="267">
        <v>109</v>
      </c>
      <c r="CM42" s="119">
        <v>48</v>
      </c>
      <c r="CN42" s="124"/>
      <c r="CO42" s="125"/>
      <c r="CP42" s="126"/>
      <c r="CQ42" s="126"/>
    </row>
    <row r="43" spans="1:95" ht="15.75" thickBot="1" x14ac:dyDescent="0.3">
      <c r="A43" s="655"/>
      <c r="B43" s="33" t="s">
        <v>68</v>
      </c>
      <c r="C43" s="235">
        <v>151</v>
      </c>
      <c r="D43" s="246">
        <v>0.3902439024390244</v>
      </c>
      <c r="E43" s="24">
        <v>0.62068965517241381</v>
      </c>
      <c r="F43" s="23">
        <v>0</v>
      </c>
      <c r="G43" s="17">
        <v>0.77659574468085102</v>
      </c>
      <c r="H43" s="24">
        <v>0.72641509433962259</v>
      </c>
      <c r="I43" s="23">
        <v>0</v>
      </c>
      <c r="J43" s="59">
        <v>0.58341982355993771</v>
      </c>
      <c r="K43" s="91">
        <v>0.67355237475601815</v>
      </c>
      <c r="L43" s="23">
        <v>0</v>
      </c>
      <c r="M43" s="51">
        <v>8.5978695777342191E-3</v>
      </c>
      <c r="N43" s="60">
        <v>7.5798002736865303E-3</v>
      </c>
      <c r="O43" s="52">
        <v>1.6892675779973301E-3</v>
      </c>
      <c r="P43" s="43">
        <v>1.435557860527E-3</v>
      </c>
      <c r="Q43" s="52">
        <v>5.4603611799183202E-2</v>
      </c>
      <c r="R43" s="43">
        <v>5.0825847147450497E-2</v>
      </c>
      <c r="S43" s="23">
        <v>0</v>
      </c>
      <c r="T43" s="44">
        <v>2.3460622609860603E-2</v>
      </c>
      <c r="U43" s="52">
        <v>1.37166710129675E-2</v>
      </c>
      <c r="V43" s="42">
        <v>1.5209125475285201E-2</v>
      </c>
      <c r="W43" s="60">
        <v>5.3639846743295E-2</v>
      </c>
      <c r="X43" s="23">
        <v>1</v>
      </c>
      <c r="Y43" s="190">
        <v>2</v>
      </c>
      <c r="Z43" s="311">
        <v>1</v>
      </c>
      <c r="AA43" s="312">
        <v>1</v>
      </c>
      <c r="AB43" s="188">
        <v>16</v>
      </c>
      <c r="AC43" s="187">
        <v>2</v>
      </c>
      <c r="AD43" s="52">
        <v>0.10596026490066225</v>
      </c>
      <c r="AE43" s="408">
        <v>7.0486111111111107</v>
      </c>
      <c r="AF43" s="375">
        <v>7.3611111111111107</v>
      </c>
      <c r="AG43" s="375">
        <v>7.1875</v>
      </c>
      <c r="AH43" s="375">
        <v>6.666666666666667</v>
      </c>
      <c r="AI43" s="375">
        <v>6.875</v>
      </c>
      <c r="AJ43" s="375">
        <v>7.5</v>
      </c>
      <c r="AK43" s="375">
        <v>7.083333333333333</v>
      </c>
      <c r="AL43" s="271">
        <v>7.916666666666667</v>
      </c>
      <c r="AM43" s="388"/>
      <c r="AN43" s="60">
        <v>0.625</v>
      </c>
      <c r="AO43" s="23">
        <v>0</v>
      </c>
      <c r="AP43" s="52" t="s">
        <v>223</v>
      </c>
      <c r="AQ43" s="43">
        <v>0.625</v>
      </c>
      <c r="AR43" s="23">
        <v>0</v>
      </c>
      <c r="AS43" s="24" t="s">
        <v>223</v>
      </c>
      <c r="AT43" s="43">
        <v>0.4375</v>
      </c>
      <c r="AU43" s="23">
        <v>0</v>
      </c>
      <c r="AV43" s="24" t="s">
        <v>223</v>
      </c>
      <c r="AW43" s="43">
        <v>0.75</v>
      </c>
      <c r="AX43" s="23">
        <v>1</v>
      </c>
      <c r="AY43" s="24" t="s">
        <v>223</v>
      </c>
      <c r="AZ43" s="43">
        <v>0.8125</v>
      </c>
      <c r="BA43" s="23">
        <v>1</v>
      </c>
      <c r="BB43" s="24" t="s">
        <v>223</v>
      </c>
      <c r="BC43" s="43">
        <v>0.8125</v>
      </c>
      <c r="BD43" s="23">
        <v>1</v>
      </c>
      <c r="BE43" s="24" t="s">
        <v>223</v>
      </c>
      <c r="BF43" s="43">
        <v>0.875</v>
      </c>
      <c r="BG43" s="23">
        <v>1</v>
      </c>
      <c r="BH43" s="91" t="s">
        <v>223</v>
      </c>
      <c r="BI43" s="44">
        <v>0.5625</v>
      </c>
      <c r="BJ43" s="23">
        <v>0</v>
      </c>
      <c r="BK43" s="145" t="s">
        <v>223</v>
      </c>
      <c r="BL43" s="471">
        <v>4</v>
      </c>
      <c r="BM43" s="523">
        <v>0</v>
      </c>
      <c r="BN43" s="285">
        <v>5</v>
      </c>
      <c r="BO43" s="190">
        <v>1</v>
      </c>
      <c r="BP43" s="25">
        <v>8</v>
      </c>
      <c r="BQ43" s="288">
        <v>4</v>
      </c>
      <c r="BR43" s="99"/>
      <c r="BS43" s="109">
        <v>7.4</v>
      </c>
      <c r="BT43" s="109" t="s">
        <v>389</v>
      </c>
      <c r="BU43" s="112">
        <v>6.1</v>
      </c>
      <c r="BV43" s="112" t="s">
        <v>389</v>
      </c>
      <c r="BW43" s="112">
        <v>6.8</v>
      </c>
      <c r="BX43" s="112" t="s">
        <v>389</v>
      </c>
      <c r="BY43" s="112">
        <v>5.9</v>
      </c>
      <c r="BZ43" s="112" t="s">
        <v>389</v>
      </c>
      <c r="CA43" s="112">
        <v>5.6</v>
      </c>
      <c r="CB43" s="112" t="s">
        <v>389</v>
      </c>
      <c r="CC43" s="112">
        <v>6</v>
      </c>
      <c r="CD43" s="112" t="s">
        <v>389</v>
      </c>
      <c r="CE43" s="112">
        <v>6.6</v>
      </c>
      <c r="CF43" s="112" t="s">
        <v>389</v>
      </c>
      <c r="CG43" s="112">
        <v>6.8</v>
      </c>
      <c r="CH43" s="112">
        <v>7.2</v>
      </c>
      <c r="CI43" s="488">
        <v>5.7</v>
      </c>
      <c r="CJ43" s="277">
        <v>6.8</v>
      </c>
      <c r="CL43" s="267">
        <v>18</v>
      </c>
      <c r="CM43" s="119">
        <v>15</v>
      </c>
      <c r="CN43" s="124"/>
      <c r="CO43" s="125"/>
      <c r="CP43" s="126"/>
      <c r="CQ43" s="126"/>
    </row>
    <row r="44" spans="1:95" ht="15" customHeight="1" x14ac:dyDescent="0.25">
      <c r="A44" s="650" t="s">
        <v>297</v>
      </c>
      <c r="B44" s="33" t="s">
        <v>7</v>
      </c>
      <c r="C44" s="235">
        <v>395</v>
      </c>
      <c r="D44" s="246">
        <v>0.84722222222222221</v>
      </c>
      <c r="E44" s="24">
        <v>0.92018779342723001</v>
      </c>
      <c r="F44" s="23">
        <v>0</v>
      </c>
      <c r="G44" s="17">
        <v>0.86294416243654826</v>
      </c>
      <c r="H44" s="24">
        <v>0.88990825688073394</v>
      </c>
      <c r="I44" s="23">
        <v>0</v>
      </c>
      <c r="J44" s="59">
        <v>0.85508319232938523</v>
      </c>
      <c r="K44" s="91">
        <v>0.90504802515398197</v>
      </c>
      <c r="L44" s="23">
        <v>0</v>
      </c>
      <c r="M44" s="51">
        <v>6.8023308933148697E-3</v>
      </c>
      <c r="N44" s="60">
        <v>1.6430485599574701E-2</v>
      </c>
      <c r="O44" s="52">
        <v>1.7381652211681899E-2</v>
      </c>
      <c r="P44" s="43">
        <v>1.67672969186279E-2</v>
      </c>
      <c r="Q44" s="52">
        <v>6.24041745346441E-2</v>
      </c>
      <c r="R44" s="43">
        <v>8.5610204683979896E-2</v>
      </c>
      <c r="S44" s="23">
        <v>0</v>
      </c>
      <c r="T44" s="44">
        <v>3.4117311207304199E-2</v>
      </c>
      <c r="U44" s="52">
        <v>4.5983947442885004E-2</v>
      </c>
      <c r="V44" s="42">
        <v>1.7817371937639201E-2</v>
      </c>
      <c r="W44" s="60">
        <v>2.61437908496732E-2</v>
      </c>
      <c r="X44" s="23">
        <v>1</v>
      </c>
      <c r="Y44" s="190">
        <v>4</v>
      </c>
      <c r="Z44" s="311">
        <v>1</v>
      </c>
      <c r="AA44" s="312">
        <v>2</v>
      </c>
      <c r="AB44" s="188">
        <v>36</v>
      </c>
      <c r="AC44" s="187">
        <v>6</v>
      </c>
      <c r="AD44" s="52">
        <v>9.1139240506329114E-2</v>
      </c>
      <c r="AE44" s="408">
        <v>6.1342592592592595</v>
      </c>
      <c r="AF44" s="375">
        <v>5.1388888888888893</v>
      </c>
      <c r="AG44" s="375">
        <v>6.7592592592592595</v>
      </c>
      <c r="AH44" s="375">
        <v>5.833333333333333</v>
      </c>
      <c r="AI44" s="375">
        <v>5.6018518518518521</v>
      </c>
      <c r="AJ44" s="375">
        <v>4.0277777777777777</v>
      </c>
      <c r="AK44" s="375">
        <v>6.041666666666667</v>
      </c>
      <c r="AL44" s="271">
        <v>5.5555555555555554</v>
      </c>
      <c r="AM44" s="386"/>
      <c r="AN44" s="60">
        <v>0.5</v>
      </c>
      <c r="AO44" s="23">
        <v>0</v>
      </c>
      <c r="AP44" s="52">
        <v>0.66666666666666663</v>
      </c>
      <c r="AQ44" s="43">
        <v>0.75</v>
      </c>
      <c r="AR44" s="23">
        <v>1</v>
      </c>
      <c r="AS44" s="24">
        <v>0.33333333333333331</v>
      </c>
      <c r="AT44" s="43">
        <v>0.5</v>
      </c>
      <c r="AU44" s="23">
        <v>0</v>
      </c>
      <c r="AV44" s="24">
        <v>0.33333333333333331</v>
      </c>
      <c r="AW44" s="43">
        <v>0.5</v>
      </c>
      <c r="AX44" s="23">
        <v>0</v>
      </c>
      <c r="AY44" s="24">
        <v>0.33333333333333331</v>
      </c>
      <c r="AZ44" s="43">
        <v>0.66666666666666663</v>
      </c>
      <c r="BA44" s="23">
        <v>0</v>
      </c>
      <c r="BB44" s="24">
        <v>0.83333333333333337</v>
      </c>
      <c r="BC44" s="43">
        <v>0.5</v>
      </c>
      <c r="BD44" s="23">
        <v>0</v>
      </c>
      <c r="BE44" s="24">
        <v>0.33333333333333331</v>
      </c>
      <c r="BF44" s="43">
        <v>0.61111111111111116</v>
      </c>
      <c r="BG44" s="23">
        <v>0</v>
      </c>
      <c r="BH44" s="91">
        <v>0.33333333333333331</v>
      </c>
      <c r="BI44" s="44">
        <v>0.58333333333333326</v>
      </c>
      <c r="BJ44" s="23">
        <v>0</v>
      </c>
      <c r="BK44" s="145">
        <v>0.33333333333333331</v>
      </c>
      <c r="BL44" s="471">
        <v>1</v>
      </c>
      <c r="BM44" s="523">
        <v>1</v>
      </c>
      <c r="BN44" s="285">
        <v>2</v>
      </c>
      <c r="BO44" s="190">
        <v>3</v>
      </c>
      <c r="BP44" s="25">
        <v>8</v>
      </c>
      <c r="BQ44" s="288">
        <v>4</v>
      </c>
      <c r="BR44" s="99"/>
      <c r="BS44" s="109">
        <v>7.2</v>
      </c>
      <c r="BT44" s="109" t="s">
        <v>389</v>
      </c>
      <c r="BU44" s="112">
        <v>6.1</v>
      </c>
      <c r="BV44" s="112" t="s">
        <v>389</v>
      </c>
      <c r="BW44" s="112">
        <v>6.5</v>
      </c>
      <c r="BX44" s="112" t="s">
        <v>389</v>
      </c>
      <c r="BY44" s="112">
        <v>6.7</v>
      </c>
      <c r="BZ44" s="112" t="s">
        <v>389</v>
      </c>
      <c r="CA44" s="112">
        <v>5.4</v>
      </c>
      <c r="CB44" s="112" t="s">
        <v>389</v>
      </c>
      <c r="CC44" s="112">
        <v>6.4</v>
      </c>
      <c r="CD44" s="112" t="s">
        <v>389</v>
      </c>
      <c r="CE44" s="112">
        <v>6.6</v>
      </c>
      <c r="CF44" s="112" t="s">
        <v>389</v>
      </c>
      <c r="CG44" s="112">
        <v>6.8</v>
      </c>
      <c r="CH44" s="112">
        <v>7.2</v>
      </c>
      <c r="CI44" s="488">
        <v>6.2</v>
      </c>
      <c r="CJ44" s="277">
        <v>6.3</v>
      </c>
      <c r="CL44" s="267">
        <v>7</v>
      </c>
      <c r="CM44" s="119">
        <v>8</v>
      </c>
      <c r="CN44" s="124"/>
      <c r="CO44" s="125"/>
      <c r="CP44" s="126"/>
      <c r="CQ44" s="126"/>
    </row>
    <row r="45" spans="1:95" x14ac:dyDescent="0.25">
      <c r="A45" s="651"/>
      <c r="B45" s="33" t="s">
        <v>8</v>
      </c>
      <c r="C45" s="235">
        <v>394</v>
      </c>
      <c r="D45" s="246">
        <v>0.59934853420195444</v>
      </c>
      <c r="E45" s="24">
        <v>0.77152317880794707</v>
      </c>
      <c r="F45" s="23">
        <v>0</v>
      </c>
      <c r="G45" s="17">
        <v>0.87982832618025753</v>
      </c>
      <c r="H45" s="24">
        <v>0.75347222222222221</v>
      </c>
      <c r="I45" s="23">
        <v>0</v>
      </c>
      <c r="J45" s="59">
        <v>0.73958843019110598</v>
      </c>
      <c r="K45" s="91">
        <v>0.76249770051508459</v>
      </c>
      <c r="L45" s="23">
        <v>0</v>
      </c>
      <c r="M45" s="51">
        <v>6.09598438681509E-3</v>
      </c>
      <c r="N45" s="60">
        <v>7.4743744432433099E-3</v>
      </c>
      <c r="O45" s="52">
        <v>4.28944165175346E-3</v>
      </c>
      <c r="P45" s="43">
        <v>4.1559946753122502E-3</v>
      </c>
      <c r="Q45" s="52">
        <v>4.3712889142841403E-2</v>
      </c>
      <c r="R45" s="43">
        <v>5.3424573053282701E-2</v>
      </c>
      <c r="S45" s="23">
        <v>0</v>
      </c>
      <c r="T45" s="44">
        <v>1.0558040432279101E-2</v>
      </c>
      <c r="U45" s="52">
        <v>1.6122531191012198E-2</v>
      </c>
      <c r="V45" s="42">
        <v>3.1545741324921099E-2</v>
      </c>
      <c r="W45" s="60">
        <v>3.48101265822785E-2</v>
      </c>
      <c r="X45" s="23">
        <v>1</v>
      </c>
      <c r="Y45" s="190">
        <v>10</v>
      </c>
      <c r="Z45" s="311">
        <v>1</v>
      </c>
      <c r="AA45" s="312">
        <v>1</v>
      </c>
      <c r="AB45" s="188">
        <v>53</v>
      </c>
      <c r="AC45" s="187">
        <v>9</v>
      </c>
      <c r="AD45" s="52">
        <v>0.13451776649746192</v>
      </c>
      <c r="AE45" s="408">
        <v>6.6981132075471699</v>
      </c>
      <c r="AF45" s="375">
        <v>5.9259259259259256</v>
      </c>
      <c r="AG45" s="375">
        <v>6.7138364779874218</v>
      </c>
      <c r="AH45" s="376">
        <v>5.4629629629629628</v>
      </c>
      <c r="AI45" s="375">
        <v>6.4150943396226419</v>
      </c>
      <c r="AJ45" s="376">
        <v>6.1111111111111107</v>
      </c>
      <c r="AK45" s="375">
        <v>6.9654088050314469</v>
      </c>
      <c r="AL45" s="111">
        <v>6.2037037037037033</v>
      </c>
      <c r="AM45" s="388">
        <v>1</v>
      </c>
      <c r="AN45" s="60">
        <v>0.47169811320754718</v>
      </c>
      <c r="AO45" s="23">
        <v>0</v>
      </c>
      <c r="AP45" s="52">
        <v>0.33333333333333331</v>
      </c>
      <c r="AQ45" s="43">
        <v>0.69811320754716988</v>
      </c>
      <c r="AR45" s="23">
        <v>1</v>
      </c>
      <c r="AS45" s="24">
        <v>0.66666666666666674</v>
      </c>
      <c r="AT45" s="43">
        <v>0.39622641509433965</v>
      </c>
      <c r="AU45" s="23">
        <v>0</v>
      </c>
      <c r="AV45" s="24">
        <v>0.55555555555555558</v>
      </c>
      <c r="AW45" s="43">
        <v>0.58490566037735847</v>
      </c>
      <c r="AX45" s="23">
        <v>0</v>
      </c>
      <c r="AY45" s="24">
        <v>0.66666666666666674</v>
      </c>
      <c r="AZ45" s="43">
        <v>0.71698113207547165</v>
      </c>
      <c r="BA45" s="23">
        <v>1</v>
      </c>
      <c r="BB45" s="24">
        <v>0.66666666666666674</v>
      </c>
      <c r="BC45" s="43">
        <v>0.54716981132075471</v>
      </c>
      <c r="BD45" s="23">
        <v>0</v>
      </c>
      <c r="BE45" s="24">
        <v>0.33333333333333331</v>
      </c>
      <c r="BF45" s="43">
        <v>0.679245283018868</v>
      </c>
      <c r="BG45" s="23">
        <v>1</v>
      </c>
      <c r="BH45" s="91">
        <v>0.55555555555555558</v>
      </c>
      <c r="BI45" s="44">
        <v>0.679245283018868</v>
      </c>
      <c r="BJ45" s="23">
        <v>1</v>
      </c>
      <c r="BK45" s="145">
        <v>0.44444444444444442</v>
      </c>
      <c r="BL45" s="471">
        <v>4</v>
      </c>
      <c r="BM45" s="523">
        <v>0</v>
      </c>
      <c r="BN45" s="285">
        <v>5</v>
      </c>
      <c r="BO45" s="190">
        <v>1</v>
      </c>
      <c r="BP45" s="25">
        <v>3</v>
      </c>
      <c r="BQ45" s="288">
        <v>6</v>
      </c>
      <c r="BR45" s="99"/>
      <c r="BS45" s="109">
        <v>7</v>
      </c>
      <c r="BT45" s="109" t="s">
        <v>389</v>
      </c>
      <c r="BU45" s="112">
        <v>5.8</v>
      </c>
      <c r="BV45" s="112" t="s">
        <v>389</v>
      </c>
      <c r="BW45" s="112">
        <v>6.5</v>
      </c>
      <c r="BX45" s="112" t="s">
        <v>389</v>
      </c>
      <c r="BY45" s="112">
        <v>5.7</v>
      </c>
      <c r="BZ45" s="112" t="s">
        <v>389</v>
      </c>
      <c r="CA45" s="112">
        <v>5.3</v>
      </c>
      <c r="CB45" s="112" t="s">
        <v>389</v>
      </c>
      <c r="CC45" s="112">
        <v>5.9</v>
      </c>
      <c r="CD45" s="112" t="s">
        <v>389</v>
      </c>
      <c r="CE45" s="112">
        <v>6.3</v>
      </c>
      <c r="CF45" s="112" t="s">
        <v>389</v>
      </c>
      <c r="CG45" s="112">
        <v>6.5</v>
      </c>
      <c r="CH45" s="112">
        <v>6.5</v>
      </c>
      <c r="CI45" s="488">
        <v>5.6</v>
      </c>
      <c r="CJ45" s="277">
        <v>6.1</v>
      </c>
      <c r="CL45" s="267">
        <v>47</v>
      </c>
      <c r="CM45" s="119">
        <v>26</v>
      </c>
      <c r="CN45" s="124"/>
      <c r="CO45" s="125"/>
      <c r="CP45" s="126"/>
      <c r="CQ45" s="126"/>
    </row>
    <row r="46" spans="1:95" x14ac:dyDescent="0.25">
      <c r="A46" s="651"/>
      <c r="B46" s="33" t="s">
        <v>9</v>
      </c>
      <c r="C46" s="235">
        <v>321</v>
      </c>
      <c r="D46" s="246">
        <v>0.75919732441471577</v>
      </c>
      <c r="E46" s="24">
        <v>0.77887788778877887</v>
      </c>
      <c r="F46" s="23">
        <v>0</v>
      </c>
      <c r="G46" s="17">
        <v>0.88888888888888884</v>
      </c>
      <c r="H46" s="24">
        <v>0.8666666666666667</v>
      </c>
      <c r="I46" s="23">
        <v>0</v>
      </c>
      <c r="J46" s="59">
        <v>0.82404310665180236</v>
      </c>
      <c r="K46" s="91">
        <v>0.82277227722772284</v>
      </c>
      <c r="L46" s="23">
        <v>0</v>
      </c>
      <c r="M46" s="51">
        <v>1.3975195868096899E-2</v>
      </c>
      <c r="N46" s="60">
        <v>1.0591102176673899E-2</v>
      </c>
      <c r="O46" s="52">
        <v>5.7420396061691904E-3</v>
      </c>
      <c r="P46" s="43">
        <v>4.1983592683568398E-3</v>
      </c>
      <c r="Q46" s="52">
        <v>5.4579624251508599E-2</v>
      </c>
      <c r="R46" s="43">
        <v>5.2031088278512702E-2</v>
      </c>
      <c r="S46" s="23">
        <v>0</v>
      </c>
      <c r="T46" s="44">
        <v>2.0142844998792899E-2</v>
      </c>
      <c r="U46" s="52">
        <v>1.5909335206045101E-2</v>
      </c>
      <c r="V46" s="42">
        <v>3.62438220757825E-2</v>
      </c>
      <c r="W46" s="60">
        <v>2.33333333333333E-2</v>
      </c>
      <c r="X46" s="23">
        <v>1</v>
      </c>
      <c r="Y46" s="190">
        <v>11</v>
      </c>
      <c r="Z46" s="311">
        <v>1</v>
      </c>
      <c r="AA46" s="312">
        <v>1</v>
      </c>
      <c r="AB46" s="188">
        <v>58</v>
      </c>
      <c r="AC46" s="187">
        <v>6</v>
      </c>
      <c r="AD46" s="52">
        <v>0.18068535825545171</v>
      </c>
      <c r="AE46" s="408">
        <v>6.0775862068965516</v>
      </c>
      <c r="AF46" s="375">
        <v>4.768518518518519</v>
      </c>
      <c r="AG46" s="375">
        <v>5.8620689655172411</v>
      </c>
      <c r="AH46" s="375">
        <v>5.2777777777777777</v>
      </c>
      <c r="AI46" s="375">
        <v>6.25</v>
      </c>
      <c r="AJ46" s="375">
        <v>4.166666666666667</v>
      </c>
      <c r="AK46" s="375">
        <v>6.1206896551724137</v>
      </c>
      <c r="AL46" s="271">
        <v>4.8611111111111107</v>
      </c>
      <c r="AM46" s="388"/>
      <c r="AN46" s="60">
        <v>0.46551724137931033</v>
      </c>
      <c r="AO46" s="23">
        <v>0</v>
      </c>
      <c r="AP46" s="52">
        <v>0</v>
      </c>
      <c r="AQ46" s="43">
        <v>0.55172413793103448</v>
      </c>
      <c r="AR46" s="23">
        <v>0</v>
      </c>
      <c r="AS46" s="24">
        <v>0.5</v>
      </c>
      <c r="AT46" s="43">
        <v>0.34482758620689657</v>
      </c>
      <c r="AU46" s="23">
        <v>0</v>
      </c>
      <c r="AV46" s="24">
        <v>0</v>
      </c>
      <c r="AW46" s="43">
        <v>0.48275862068965514</v>
      </c>
      <c r="AX46" s="23">
        <v>0</v>
      </c>
      <c r="AY46" s="24">
        <v>0.16666666666666666</v>
      </c>
      <c r="AZ46" s="43">
        <v>0.60344827586206895</v>
      </c>
      <c r="BA46" s="23">
        <v>0</v>
      </c>
      <c r="BB46" s="24">
        <v>0.33333333333333331</v>
      </c>
      <c r="BC46" s="43">
        <v>0.43103448275862066</v>
      </c>
      <c r="BD46" s="23">
        <v>0</v>
      </c>
      <c r="BE46" s="24">
        <v>0.33333333333333331</v>
      </c>
      <c r="BF46" s="43">
        <v>0.67241379310344829</v>
      </c>
      <c r="BG46" s="23">
        <v>1</v>
      </c>
      <c r="BH46" s="91">
        <v>0.5</v>
      </c>
      <c r="BI46" s="44">
        <v>0.51724137931034475</v>
      </c>
      <c r="BJ46" s="23">
        <v>0</v>
      </c>
      <c r="BK46" s="145">
        <v>0.16666666666666666</v>
      </c>
      <c r="BL46" s="471">
        <v>1</v>
      </c>
      <c r="BM46" s="523">
        <v>0</v>
      </c>
      <c r="BN46" s="285">
        <v>2</v>
      </c>
      <c r="BO46" s="190">
        <v>1</v>
      </c>
      <c r="BP46" s="25">
        <v>3</v>
      </c>
      <c r="BQ46" s="288">
        <v>5</v>
      </c>
      <c r="BR46" s="99"/>
      <c r="BS46" s="109">
        <v>6.6</v>
      </c>
      <c r="BT46" s="109" t="s">
        <v>389</v>
      </c>
      <c r="BU46" s="112">
        <v>5.5</v>
      </c>
      <c r="BV46" s="112" t="s">
        <v>389</v>
      </c>
      <c r="BW46" s="112">
        <v>6.3</v>
      </c>
      <c r="BX46" s="112" t="s">
        <v>389</v>
      </c>
      <c r="BY46" s="112">
        <v>5.6</v>
      </c>
      <c r="BZ46" s="112" t="s">
        <v>389</v>
      </c>
      <c r="CA46" s="112">
        <v>4.7</v>
      </c>
      <c r="CB46" s="112" t="s">
        <v>389</v>
      </c>
      <c r="CC46" s="112">
        <v>4.9000000000000004</v>
      </c>
      <c r="CD46" s="112" t="s">
        <v>389</v>
      </c>
      <c r="CE46" s="112">
        <v>6.1</v>
      </c>
      <c r="CF46" s="112" t="s">
        <v>389</v>
      </c>
      <c r="CG46" s="112">
        <v>6.3</v>
      </c>
      <c r="CH46" s="112">
        <v>6.7</v>
      </c>
      <c r="CI46" s="488">
        <v>5.0999999999999996</v>
      </c>
      <c r="CJ46" s="277">
        <v>5.9</v>
      </c>
      <c r="CL46" s="267">
        <v>14</v>
      </c>
      <c r="CM46" s="119">
        <v>9</v>
      </c>
      <c r="CN46" s="124"/>
      <c r="CO46" s="125"/>
      <c r="CP46" s="126"/>
      <c r="CQ46" s="126"/>
    </row>
    <row r="47" spans="1:95" x14ac:dyDescent="0.25">
      <c r="A47" s="651"/>
      <c r="B47" s="33" t="s">
        <v>10</v>
      </c>
      <c r="C47" s="235">
        <v>172</v>
      </c>
      <c r="D47" s="246">
        <v>0.86335403726708071</v>
      </c>
      <c r="E47" s="24">
        <v>0.81699346405228757</v>
      </c>
      <c r="F47" s="23">
        <v>0</v>
      </c>
      <c r="G47" s="17">
        <v>0.8359375</v>
      </c>
      <c r="H47" s="24">
        <v>0.74264705882352944</v>
      </c>
      <c r="I47" s="23">
        <v>0</v>
      </c>
      <c r="J47" s="59">
        <v>0.84964576863354035</v>
      </c>
      <c r="K47" s="91">
        <v>0.7798202614379085</v>
      </c>
      <c r="L47" s="23">
        <v>0</v>
      </c>
      <c r="M47" s="51">
        <v>1.86868656185562E-2</v>
      </c>
      <c r="N47" s="60">
        <v>1.3081125615316399E-2</v>
      </c>
      <c r="O47" s="52">
        <v>9.3839802960311008E-3</v>
      </c>
      <c r="P47" s="43">
        <v>6.1112041988403802E-3</v>
      </c>
      <c r="Q47" s="52">
        <v>7.4618176240116005E-2</v>
      </c>
      <c r="R47" s="43">
        <v>7.5689244777020201E-2</v>
      </c>
      <c r="S47" s="23">
        <v>0</v>
      </c>
      <c r="T47" s="44">
        <v>4.0175950616737496E-2</v>
      </c>
      <c r="U47" s="52">
        <v>2.8080053016685799E-2</v>
      </c>
      <c r="V47" s="42">
        <v>1.88679245283019E-2</v>
      </c>
      <c r="W47" s="60">
        <v>1.9607843137254902E-2</v>
      </c>
      <c r="X47" s="23">
        <v>1</v>
      </c>
      <c r="Y47" s="190">
        <v>3</v>
      </c>
      <c r="Z47" s="311">
        <v>1</v>
      </c>
      <c r="AA47" s="312">
        <v>1</v>
      </c>
      <c r="AB47" s="188">
        <v>41</v>
      </c>
      <c r="AC47" s="187">
        <v>10</v>
      </c>
      <c r="AD47" s="52">
        <v>0.23837209302325582</v>
      </c>
      <c r="AE47" s="408">
        <v>5.6978319783197833</v>
      </c>
      <c r="AF47" s="375">
        <v>4.416666666666667</v>
      </c>
      <c r="AG47" s="375">
        <v>5.4065040650406502</v>
      </c>
      <c r="AH47" s="376">
        <v>5</v>
      </c>
      <c r="AI47" s="375">
        <v>5.7926829268292686</v>
      </c>
      <c r="AJ47" s="376">
        <v>4.666666666666667</v>
      </c>
      <c r="AK47" s="375">
        <v>5.8943089430894311</v>
      </c>
      <c r="AL47" s="111">
        <v>3.5833333333333335</v>
      </c>
      <c r="AM47" s="388"/>
      <c r="AN47" s="60">
        <v>0.3902439024390244</v>
      </c>
      <c r="AO47" s="23">
        <v>0</v>
      </c>
      <c r="AP47" s="52">
        <v>0.3</v>
      </c>
      <c r="AQ47" s="43">
        <v>0.34146341463414637</v>
      </c>
      <c r="AR47" s="23">
        <v>0</v>
      </c>
      <c r="AS47" s="24">
        <v>0.6</v>
      </c>
      <c r="AT47" s="43">
        <v>0.34146341463414631</v>
      </c>
      <c r="AU47" s="23">
        <v>0</v>
      </c>
      <c r="AV47" s="24">
        <v>0.2</v>
      </c>
      <c r="AW47" s="43">
        <v>0.53658536585365857</v>
      </c>
      <c r="AX47" s="23">
        <v>0</v>
      </c>
      <c r="AY47" s="24">
        <v>0.3</v>
      </c>
      <c r="AZ47" s="43">
        <v>0.5609756097560975</v>
      </c>
      <c r="BA47" s="23">
        <v>0</v>
      </c>
      <c r="BB47" s="24">
        <v>0.1</v>
      </c>
      <c r="BC47" s="43">
        <v>0.43902439024390238</v>
      </c>
      <c r="BD47" s="23">
        <v>0</v>
      </c>
      <c r="BE47" s="24">
        <v>0.2</v>
      </c>
      <c r="BF47" s="43">
        <v>0.70731707317073167</v>
      </c>
      <c r="BG47" s="23">
        <v>1</v>
      </c>
      <c r="BH47" s="91">
        <v>0.5</v>
      </c>
      <c r="BI47" s="44">
        <v>0.53658536585365857</v>
      </c>
      <c r="BJ47" s="23">
        <v>0</v>
      </c>
      <c r="BK47" s="145">
        <v>0.5</v>
      </c>
      <c r="BL47" s="471">
        <v>1</v>
      </c>
      <c r="BM47" s="523">
        <v>0</v>
      </c>
      <c r="BN47" s="285">
        <v>2</v>
      </c>
      <c r="BO47" s="190">
        <v>1</v>
      </c>
      <c r="BP47" s="25">
        <v>1</v>
      </c>
      <c r="BQ47" s="288">
        <v>2</v>
      </c>
      <c r="BR47" s="99"/>
      <c r="BS47" s="109">
        <v>6.4</v>
      </c>
      <c r="BT47" s="109" t="s">
        <v>389</v>
      </c>
      <c r="BU47" s="112">
        <v>4.9000000000000004</v>
      </c>
      <c r="BV47" s="112" t="s">
        <v>389</v>
      </c>
      <c r="BW47" s="112">
        <v>5.9</v>
      </c>
      <c r="BX47" s="112" t="s">
        <v>389</v>
      </c>
      <c r="BY47" s="112">
        <v>5</v>
      </c>
      <c r="BZ47" s="112" t="s">
        <v>389</v>
      </c>
      <c r="CA47" s="112">
        <v>3.9</v>
      </c>
      <c r="CB47" s="112" t="s">
        <v>389</v>
      </c>
      <c r="CC47" s="112">
        <v>5.4</v>
      </c>
      <c r="CD47" s="112" t="s">
        <v>389</v>
      </c>
      <c r="CE47" s="112">
        <v>5.6</v>
      </c>
      <c r="CF47" s="112" t="s">
        <v>389</v>
      </c>
      <c r="CG47" s="112">
        <v>5.8</v>
      </c>
      <c r="CH47" s="112">
        <v>5.8</v>
      </c>
      <c r="CI47" s="488">
        <v>4.4000000000000004</v>
      </c>
      <c r="CJ47" s="277">
        <v>4.9000000000000004</v>
      </c>
      <c r="CL47" s="267">
        <v>6</v>
      </c>
      <c r="CM47" s="119">
        <v>6</v>
      </c>
      <c r="CN47" s="124"/>
      <c r="CO47" s="125"/>
      <c r="CP47" s="126"/>
      <c r="CQ47" s="126"/>
    </row>
    <row r="48" spans="1:95" ht="15.75" thickBot="1" x14ac:dyDescent="0.3">
      <c r="A48" s="652"/>
      <c r="B48" s="33" t="s">
        <v>11</v>
      </c>
      <c r="C48" s="235">
        <v>345</v>
      </c>
      <c r="D48" s="246">
        <v>0.66060606060606064</v>
      </c>
      <c r="E48" s="24">
        <v>0.91384615384615386</v>
      </c>
      <c r="F48" s="23">
        <v>0</v>
      </c>
      <c r="G48" s="17">
        <v>0.96934865900383138</v>
      </c>
      <c r="H48" s="24">
        <v>0.94852941176470584</v>
      </c>
      <c r="I48" s="23">
        <v>1</v>
      </c>
      <c r="J48" s="59">
        <v>0.81497735980494601</v>
      </c>
      <c r="K48" s="91">
        <v>0.9311877828054298</v>
      </c>
      <c r="L48" s="23">
        <v>0</v>
      </c>
      <c r="M48" s="51">
        <v>1.3832931358804401E-2</v>
      </c>
      <c r="N48" s="60">
        <v>1.0492264310807801E-2</v>
      </c>
      <c r="O48" s="52">
        <v>5.5587635165592003E-3</v>
      </c>
      <c r="P48" s="43">
        <v>4.3278873521915302E-3</v>
      </c>
      <c r="Q48" s="52">
        <v>5.749610479344E-2</v>
      </c>
      <c r="R48" s="43">
        <v>7.2952649335917302E-2</v>
      </c>
      <c r="S48" s="23">
        <v>0</v>
      </c>
      <c r="T48" s="44">
        <v>2.5173363880678399E-2</v>
      </c>
      <c r="U48" s="52">
        <v>2.4724883576969302E-2</v>
      </c>
      <c r="V48" s="42">
        <v>3.5190615835777102E-2</v>
      </c>
      <c r="W48" s="60">
        <v>4.1728763040238502E-2</v>
      </c>
      <c r="X48" s="23">
        <v>1</v>
      </c>
      <c r="Y48" s="190">
        <v>12</v>
      </c>
      <c r="Z48" s="311">
        <v>1</v>
      </c>
      <c r="AA48" s="312">
        <v>2</v>
      </c>
      <c r="AB48" s="188">
        <v>31</v>
      </c>
      <c r="AC48" s="187">
        <v>3</v>
      </c>
      <c r="AD48" s="52">
        <v>8.9855072463768115E-2</v>
      </c>
      <c r="AE48" s="408">
        <v>6.3799283154121866</v>
      </c>
      <c r="AF48" s="375">
        <v>7.1296296296296298</v>
      </c>
      <c r="AG48" s="375">
        <v>5.618279569892473</v>
      </c>
      <c r="AH48" s="375">
        <v>7.7777777777777777</v>
      </c>
      <c r="AI48" s="375">
        <v>6.370967741935484</v>
      </c>
      <c r="AJ48" s="375">
        <v>5.2777777777777777</v>
      </c>
      <c r="AK48" s="375">
        <v>7.150537634408602</v>
      </c>
      <c r="AL48" s="271">
        <v>8.3333333333333339</v>
      </c>
      <c r="AM48" s="386">
        <v>0.9375</v>
      </c>
      <c r="AN48" s="60">
        <v>0.35483870967741937</v>
      </c>
      <c r="AO48" s="23">
        <v>0</v>
      </c>
      <c r="AP48" s="52" t="s">
        <v>223</v>
      </c>
      <c r="AQ48" s="43">
        <v>0.5161290322580645</v>
      </c>
      <c r="AR48" s="23">
        <v>0</v>
      </c>
      <c r="AS48" s="24" t="s">
        <v>223</v>
      </c>
      <c r="AT48" s="43">
        <v>0.5161290322580645</v>
      </c>
      <c r="AU48" s="23">
        <v>0</v>
      </c>
      <c r="AV48" s="24" t="s">
        <v>223</v>
      </c>
      <c r="AW48" s="43">
        <v>0.64516129032258063</v>
      </c>
      <c r="AX48" s="23">
        <v>0</v>
      </c>
      <c r="AY48" s="24" t="s">
        <v>223</v>
      </c>
      <c r="AZ48" s="43">
        <v>0.58064516129032262</v>
      </c>
      <c r="BA48" s="23">
        <v>0</v>
      </c>
      <c r="BB48" s="24" t="s">
        <v>223</v>
      </c>
      <c r="BC48" s="43">
        <v>0.58064516129032262</v>
      </c>
      <c r="BD48" s="23">
        <v>0</v>
      </c>
      <c r="BE48" s="24" t="s">
        <v>223</v>
      </c>
      <c r="BF48" s="43">
        <v>0.67741935483870963</v>
      </c>
      <c r="BG48" s="23">
        <v>1</v>
      </c>
      <c r="BH48" s="91" t="s">
        <v>223</v>
      </c>
      <c r="BI48" s="44">
        <v>0.58064516129032251</v>
      </c>
      <c r="BJ48" s="23">
        <v>0</v>
      </c>
      <c r="BK48" s="145" t="s">
        <v>223</v>
      </c>
      <c r="BL48" s="471">
        <v>1</v>
      </c>
      <c r="BM48" s="523">
        <v>0</v>
      </c>
      <c r="BN48" s="285">
        <v>2</v>
      </c>
      <c r="BO48" s="190">
        <v>2</v>
      </c>
      <c r="BP48" s="25">
        <v>3</v>
      </c>
      <c r="BQ48" s="288">
        <v>7</v>
      </c>
      <c r="BR48" s="99"/>
      <c r="BS48" s="109">
        <v>7.3</v>
      </c>
      <c r="BT48" s="109" t="s">
        <v>389</v>
      </c>
      <c r="BU48" s="112">
        <v>5.8</v>
      </c>
      <c r="BV48" s="112" t="s">
        <v>389</v>
      </c>
      <c r="BW48" s="112">
        <v>6.8</v>
      </c>
      <c r="BX48" s="112" t="s">
        <v>389</v>
      </c>
      <c r="BY48" s="112">
        <v>5.6</v>
      </c>
      <c r="BZ48" s="112" t="s">
        <v>389</v>
      </c>
      <c r="CA48" s="112">
        <v>5.6</v>
      </c>
      <c r="CB48" s="112" t="s">
        <v>389</v>
      </c>
      <c r="CC48" s="112">
        <v>5.9</v>
      </c>
      <c r="CD48" s="112" t="s">
        <v>389</v>
      </c>
      <c r="CE48" s="112">
        <v>6.8</v>
      </c>
      <c r="CF48" s="112" t="s">
        <v>389</v>
      </c>
      <c r="CG48" s="112">
        <v>6.6</v>
      </c>
      <c r="CH48" s="112">
        <v>7.3</v>
      </c>
      <c r="CI48" s="488">
        <v>5.4</v>
      </c>
      <c r="CJ48" s="277">
        <v>6.5</v>
      </c>
      <c r="CL48" s="267">
        <v>13</v>
      </c>
      <c r="CM48" s="119">
        <v>7</v>
      </c>
      <c r="CN48" s="124"/>
      <c r="CO48" s="125"/>
      <c r="CP48" s="126"/>
      <c r="CQ48" s="126"/>
    </row>
    <row r="49" spans="1:95" ht="15" customHeight="1" x14ac:dyDescent="0.25">
      <c r="A49" s="650" t="s">
        <v>298</v>
      </c>
      <c r="B49" s="33" t="s">
        <v>13</v>
      </c>
      <c r="C49" s="235">
        <v>69</v>
      </c>
      <c r="D49" s="246">
        <v>0.45070422535211269</v>
      </c>
      <c r="E49" s="24">
        <v>0.77419354838709675</v>
      </c>
      <c r="F49" s="23">
        <v>0</v>
      </c>
      <c r="G49" s="17">
        <v>0.60655737704918034</v>
      </c>
      <c r="H49" s="24">
        <v>0.68421052631578949</v>
      </c>
      <c r="I49" s="23">
        <v>0</v>
      </c>
      <c r="J49" s="59">
        <v>0.52863080120064654</v>
      </c>
      <c r="K49" s="91">
        <v>0.72920203735144318</v>
      </c>
      <c r="L49" s="23">
        <v>0</v>
      </c>
      <c r="M49" s="51">
        <v>1.07916005198146E-2</v>
      </c>
      <c r="N49" s="60">
        <v>1.7175043370419502E-2</v>
      </c>
      <c r="O49" s="52">
        <v>0</v>
      </c>
      <c r="P49" s="43">
        <v>0</v>
      </c>
      <c r="Q49" s="52">
        <v>3.0282133778034799E-2</v>
      </c>
      <c r="R49" s="43">
        <v>4.4671916825524398E-2</v>
      </c>
      <c r="S49" s="23">
        <v>1</v>
      </c>
      <c r="T49" s="44">
        <v>9.3554559639457101E-3</v>
      </c>
      <c r="U49" s="52">
        <v>1.6488041635602701E-2</v>
      </c>
      <c r="V49" s="42">
        <v>3.3898305084745797E-2</v>
      </c>
      <c r="W49" s="60">
        <v>1.8018018018018001E-2</v>
      </c>
      <c r="X49" s="23">
        <v>1</v>
      </c>
      <c r="Y49" s="190">
        <v>2</v>
      </c>
      <c r="Z49" s="311">
        <v>2</v>
      </c>
      <c r="AA49" s="312">
        <v>1</v>
      </c>
      <c r="AB49" s="188">
        <v>14</v>
      </c>
      <c r="AC49" s="187">
        <v>1</v>
      </c>
      <c r="AD49" s="52">
        <v>0.20289855072463769</v>
      </c>
      <c r="AE49" s="408">
        <v>7.3412698412698418</v>
      </c>
      <c r="AF49" s="375">
        <v>2.5</v>
      </c>
      <c r="AG49" s="375">
        <v>7.5595238095238093</v>
      </c>
      <c r="AH49" s="376">
        <v>2.5</v>
      </c>
      <c r="AI49" s="375">
        <v>7.5</v>
      </c>
      <c r="AJ49" s="376">
        <v>2.5</v>
      </c>
      <c r="AK49" s="375">
        <v>6.9642857142857144</v>
      </c>
      <c r="AL49" s="111">
        <v>2.5</v>
      </c>
      <c r="AM49" s="388"/>
      <c r="AN49" s="60">
        <v>0.7142857142857143</v>
      </c>
      <c r="AO49" s="23">
        <v>1</v>
      </c>
      <c r="AP49" s="52" t="s">
        <v>223</v>
      </c>
      <c r="AQ49" s="43">
        <v>0.8571428571428571</v>
      </c>
      <c r="AR49" s="23">
        <v>1</v>
      </c>
      <c r="AS49" s="24" t="s">
        <v>223</v>
      </c>
      <c r="AT49" s="43">
        <v>0.7857142857142857</v>
      </c>
      <c r="AU49" s="23">
        <v>1</v>
      </c>
      <c r="AV49" s="24" t="s">
        <v>223</v>
      </c>
      <c r="AW49" s="43">
        <v>0.8571428571428571</v>
      </c>
      <c r="AX49" s="23">
        <v>1</v>
      </c>
      <c r="AY49" s="24" t="s">
        <v>223</v>
      </c>
      <c r="AZ49" s="43">
        <v>0.7857142857142857</v>
      </c>
      <c r="BA49" s="23">
        <v>1</v>
      </c>
      <c r="BB49" s="24" t="s">
        <v>223</v>
      </c>
      <c r="BC49" s="43">
        <v>0.64285714285714279</v>
      </c>
      <c r="BD49" s="23">
        <v>0</v>
      </c>
      <c r="BE49" s="24" t="s">
        <v>223</v>
      </c>
      <c r="BF49" s="43">
        <v>0.8571428571428571</v>
      </c>
      <c r="BG49" s="23">
        <v>1</v>
      </c>
      <c r="BH49" s="91" t="s">
        <v>223</v>
      </c>
      <c r="BI49" s="44">
        <v>0.7142857142857143</v>
      </c>
      <c r="BJ49" s="23">
        <v>1</v>
      </c>
      <c r="BK49" s="145" t="s">
        <v>223</v>
      </c>
      <c r="BL49" s="471">
        <v>7</v>
      </c>
      <c r="BM49" s="523">
        <v>0</v>
      </c>
      <c r="BN49" s="285">
        <v>9</v>
      </c>
      <c r="BO49" s="190">
        <v>1</v>
      </c>
      <c r="BP49" s="25">
        <v>6</v>
      </c>
      <c r="BQ49" s="288">
        <v>6</v>
      </c>
      <c r="BR49" s="99"/>
      <c r="BS49" s="116">
        <v>8</v>
      </c>
      <c r="BT49" s="112" t="s">
        <v>389</v>
      </c>
      <c r="BU49" s="112">
        <v>7.1</v>
      </c>
      <c r="BV49" s="112" t="s">
        <v>389</v>
      </c>
      <c r="BW49" s="112">
        <v>7</v>
      </c>
      <c r="BX49" s="112" t="s">
        <v>389</v>
      </c>
      <c r="BY49" s="112">
        <v>6.2</v>
      </c>
      <c r="BZ49" s="112" t="s">
        <v>389</v>
      </c>
      <c r="CA49" s="112">
        <v>6.2</v>
      </c>
      <c r="CB49" s="112" t="s">
        <v>389</v>
      </c>
      <c r="CC49" s="112">
        <v>6.4</v>
      </c>
      <c r="CD49" s="112" t="s">
        <v>389</v>
      </c>
      <c r="CE49" s="112">
        <v>7.6</v>
      </c>
      <c r="CF49" s="112" t="s">
        <v>389</v>
      </c>
      <c r="CG49" s="112">
        <v>7.3</v>
      </c>
      <c r="CH49" s="112" t="s">
        <v>389</v>
      </c>
      <c r="CI49" s="488">
        <v>6.4</v>
      </c>
      <c r="CJ49" s="486" t="s">
        <v>389</v>
      </c>
      <c r="CL49" s="268" t="s">
        <v>223</v>
      </c>
      <c r="CM49" s="119">
        <v>0</v>
      </c>
      <c r="CN49" s="124"/>
      <c r="CO49" s="125"/>
      <c r="CP49" s="126"/>
      <c r="CQ49" s="126"/>
    </row>
    <row r="50" spans="1:95" x14ac:dyDescent="0.25">
      <c r="A50" s="651"/>
      <c r="B50" s="151" t="s">
        <v>14</v>
      </c>
      <c r="C50" s="235">
        <v>19</v>
      </c>
      <c r="D50" s="246">
        <v>0.36842105263157893</v>
      </c>
      <c r="E50" s="24">
        <v>0.5</v>
      </c>
      <c r="F50" s="23">
        <v>0</v>
      </c>
      <c r="G50" s="17">
        <v>0.16666666666666666</v>
      </c>
      <c r="H50" s="24">
        <v>0.46153846153846156</v>
      </c>
      <c r="I50" s="23">
        <v>0</v>
      </c>
      <c r="J50" s="59">
        <v>0.26754385964912281</v>
      </c>
      <c r="K50" s="91">
        <v>0.48076923076923078</v>
      </c>
      <c r="L50" s="23">
        <v>0</v>
      </c>
      <c r="M50" s="51">
        <v>0</v>
      </c>
      <c r="N50" s="60">
        <v>4.8555486417937999E-3</v>
      </c>
      <c r="O50" s="52">
        <v>0</v>
      </c>
      <c r="P50" s="43">
        <v>8.0925810696563295E-4</v>
      </c>
      <c r="Q50" s="52">
        <v>4.9656068663444498E-2</v>
      </c>
      <c r="R50" s="43">
        <v>8.0051577256189305E-2</v>
      </c>
      <c r="S50" s="23">
        <v>0</v>
      </c>
      <c r="T50" s="44">
        <v>4.0993267065841194E-2</v>
      </c>
      <c r="U50" s="52">
        <v>6.2150779837528501E-2</v>
      </c>
      <c r="V50" s="42">
        <v>0.13793103448275901</v>
      </c>
      <c r="W50" s="60">
        <v>0</v>
      </c>
      <c r="X50" s="23">
        <v>0</v>
      </c>
      <c r="Y50" s="190">
        <v>2</v>
      </c>
      <c r="Z50" s="311">
        <v>0</v>
      </c>
      <c r="AA50" s="312">
        <v>1</v>
      </c>
      <c r="AB50" s="188">
        <v>9</v>
      </c>
      <c r="AC50" s="187">
        <v>2</v>
      </c>
      <c r="AD50" s="52">
        <v>0.47368421052631576</v>
      </c>
      <c r="AE50" s="388">
        <v>7.7777777777777777</v>
      </c>
      <c r="AF50" s="375"/>
      <c r="AG50" s="375">
        <v>7.9629629629629628</v>
      </c>
      <c r="AH50" s="375">
        <v>7.5</v>
      </c>
      <c r="AI50" s="375">
        <v>7.4074074074074074</v>
      </c>
      <c r="AJ50" s="375">
        <v>6.25</v>
      </c>
      <c r="AK50" s="375">
        <v>7.9629629629629628</v>
      </c>
      <c r="AL50" s="271">
        <v>7.5</v>
      </c>
      <c r="AM50" s="388"/>
      <c r="AN50" s="60">
        <v>0.88888888888888884</v>
      </c>
      <c r="AO50" s="190">
        <v>1</v>
      </c>
      <c r="AP50" s="52" t="s">
        <v>223</v>
      </c>
      <c r="AQ50" s="43">
        <v>0.66666666666666696</v>
      </c>
      <c r="AR50" s="150">
        <v>0</v>
      </c>
      <c r="AS50" s="24" t="s">
        <v>223</v>
      </c>
      <c r="AT50" s="43">
        <v>0.66666666666666663</v>
      </c>
      <c r="AU50" s="150">
        <v>0</v>
      </c>
      <c r="AV50" s="24" t="s">
        <v>223</v>
      </c>
      <c r="AW50" s="43">
        <v>0.66666666666666663</v>
      </c>
      <c r="AX50" s="150">
        <v>0</v>
      </c>
      <c r="AY50" s="24" t="s">
        <v>223</v>
      </c>
      <c r="AZ50" s="43">
        <v>0.77777777777777768</v>
      </c>
      <c r="BA50" s="150">
        <v>1</v>
      </c>
      <c r="BB50" s="24" t="s">
        <v>223</v>
      </c>
      <c r="BC50" s="43">
        <v>0.66666666666666663</v>
      </c>
      <c r="BD50" s="150">
        <v>0</v>
      </c>
      <c r="BE50" s="24" t="s">
        <v>223</v>
      </c>
      <c r="BF50" s="43">
        <v>0.77777777777777768</v>
      </c>
      <c r="BG50" s="150">
        <v>1</v>
      </c>
      <c r="BH50" s="91" t="s">
        <v>223</v>
      </c>
      <c r="BI50" s="44">
        <v>0.77777777777777768</v>
      </c>
      <c r="BJ50" s="23">
        <v>1</v>
      </c>
      <c r="BK50" s="145" t="s">
        <v>223</v>
      </c>
      <c r="BL50" s="471"/>
      <c r="BM50" s="523">
        <v>0</v>
      </c>
      <c r="BN50" s="285">
        <v>4</v>
      </c>
      <c r="BO50" s="190">
        <v>1</v>
      </c>
      <c r="BP50" s="25">
        <v>5</v>
      </c>
      <c r="BQ50" s="288">
        <v>4</v>
      </c>
      <c r="BR50" s="99"/>
      <c r="BS50" s="489"/>
      <c r="BT50" s="482" t="s">
        <v>389</v>
      </c>
      <c r="BU50" s="482"/>
      <c r="BV50" s="482" t="s">
        <v>389</v>
      </c>
      <c r="BW50" s="482"/>
      <c r="BX50" s="482" t="s">
        <v>389</v>
      </c>
      <c r="BY50" s="482"/>
      <c r="BZ50" s="482" t="s">
        <v>389</v>
      </c>
      <c r="CA50" s="482"/>
      <c r="CB50" s="482" t="s">
        <v>389</v>
      </c>
      <c r="CC50" s="482"/>
      <c r="CD50" s="482" t="s">
        <v>389</v>
      </c>
      <c r="CE50" s="482"/>
      <c r="CF50" s="482" t="s">
        <v>389</v>
      </c>
      <c r="CG50" s="482"/>
      <c r="CH50" s="482"/>
      <c r="CI50" s="490"/>
      <c r="CJ50" s="486"/>
      <c r="CL50" s="268" t="s">
        <v>223</v>
      </c>
      <c r="CM50" s="119">
        <v>0</v>
      </c>
      <c r="CN50" s="124"/>
      <c r="CO50" s="125"/>
      <c r="CP50" s="126"/>
      <c r="CQ50" s="126"/>
    </row>
    <row r="51" spans="1:95" x14ac:dyDescent="0.25">
      <c r="A51" s="651"/>
      <c r="B51" s="33" t="s">
        <v>15</v>
      </c>
      <c r="C51" s="235">
        <v>17</v>
      </c>
      <c r="D51" s="246">
        <v>0.61111111111111116</v>
      </c>
      <c r="E51" s="24">
        <v>0.66666666666666663</v>
      </c>
      <c r="F51" s="23">
        <v>0</v>
      </c>
      <c r="G51" s="17">
        <v>0.76923076923076927</v>
      </c>
      <c r="H51" s="24">
        <v>0.6428571428571429</v>
      </c>
      <c r="I51" s="23">
        <v>0</v>
      </c>
      <c r="J51" s="59">
        <v>0.69017094017094016</v>
      </c>
      <c r="K51" s="91">
        <v>0.65476190476190477</v>
      </c>
      <c r="L51" s="23">
        <v>0</v>
      </c>
      <c r="M51" s="51">
        <v>4.9571315408208798E-2</v>
      </c>
      <c r="N51" s="60">
        <v>1.8579387184639001E-2</v>
      </c>
      <c r="O51" s="52">
        <v>0</v>
      </c>
      <c r="P51" s="43">
        <v>0</v>
      </c>
      <c r="Q51" s="52">
        <v>6.5613556174147297E-2</v>
      </c>
      <c r="R51" s="43">
        <v>3.8587957998865698E-2</v>
      </c>
      <c r="S51" s="23">
        <v>0</v>
      </c>
      <c r="T51" s="44">
        <v>4.9571315408208798E-2</v>
      </c>
      <c r="U51" s="52">
        <v>8.5751017775257E-3</v>
      </c>
      <c r="V51" s="42">
        <v>6.0606060606060601E-2</v>
      </c>
      <c r="W51" s="60">
        <v>0</v>
      </c>
      <c r="X51" s="23">
        <v>1</v>
      </c>
      <c r="Y51" s="190">
        <v>1</v>
      </c>
      <c r="Z51" s="311">
        <v>1</v>
      </c>
      <c r="AA51" s="312">
        <v>2</v>
      </c>
      <c r="AB51" s="188">
        <v>34</v>
      </c>
      <c r="AC51" s="187">
        <v>11</v>
      </c>
      <c r="AD51" s="52">
        <v>2</v>
      </c>
      <c r="AE51" s="408">
        <v>7.2712418300653603</v>
      </c>
      <c r="AF51" s="375">
        <v>6.3636363636363633</v>
      </c>
      <c r="AG51" s="375">
        <v>7.0098039215686274</v>
      </c>
      <c r="AH51" s="375">
        <v>6.2878787878787881</v>
      </c>
      <c r="AI51" s="375">
        <v>7.2058823529411766</v>
      </c>
      <c r="AJ51" s="375">
        <v>5.9848484848484844</v>
      </c>
      <c r="AK51" s="375">
        <v>7.5980392156862742</v>
      </c>
      <c r="AL51" s="271">
        <v>6.8181818181818183</v>
      </c>
      <c r="AM51" s="388"/>
      <c r="AN51" s="60">
        <v>0.73529411764705888</v>
      </c>
      <c r="AO51" s="23">
        <v>1</v>
      </c>
      <c r="AP51" s="52">
        <v>0.36363636363636365</v>
      </c>
      <c r="AQ51" s="43">
        <v>0.61764705882352944</v>
      </c>
      <c r="AR51" s="23">
        <v>0</v>
      </c>
      <c r="AS51" s="24">
        <v>0.54545454545454541</v>
      </c>
      <c r="AT51" s="43">
        <v>0.61764705882352944</v>
      </c>
      <c r="AU51" s="23">
        <v>0</v>
      </c>
      <c r="AV51" s="24">
        <v>0.45454545454545453</v>
      </c>
      <c r="AW51" s="43">
        <v>0.70588235294117641</v>
      </c>
      <c r="AX51" s="23">
        <v>1</v>
      </c>
      <c r="AY51" s="24">
        <v>0.45454545454545459</v>
      </c>
      <c r="AZ51" s="43">
        <v>0.76470588235294124</v>
      </c>
      <c r="BA51" s="23">
        <v>1</v>
      </c>
      <c r="BB51" s="24">
        <v>0.45454545454545459</v>
      </c>
      <c r="BC51" s="43">
        <v>0.64705882352941169</v>
      </c>
      <c r="BD51" s="23">
        <v>0</v>
      </c>
      <c r="BE51" s="24">
        <v>0.45454545454545459</v>
      </c>
      <c r="BF51" s="43">
        <v>0.85294117647058831</v>
      </c>
      <c r="BG51" s="23">
        <v>1</v>
      </c>
      <c r="BH51" s="91">
        <v>0.63636363636363635</v>
      </c>
      <c r="BI51" s="44">
        <v>0.58823529411764708</v>
      </c>
      <c r="BJ51" s="23">
        <v>0</v>
      </c>
      <c r="BK51" s="145">
        <v>0.45454545454545459</v>
      </c>
      <c r="BL51" s="471">
        <v>4</v>
      </c>
      <c r="BM51" s="523">
        <v>0</v>
      </c>
      <c r="BN51" s="285">
        <v>5</v>
      </c>
      <c r="BO51" s="190">
        <v>2</v>
      </c>
      <c r="BP51" s="25">
        <v>10</v>
      </c>
      <c r="BQ51" s="288">
        <v>9</v>
      </c>
      <c r="BR51" s="99"/>
      <c r="BS51" s="116">
        <v>8.5</v>
      </c>
      <c r="BT51" s="112" t="s">
        <v>389</v>
      </c>
      <c r="BU51" s="112">
        <v>7.9</v>
      </c>
      <c r="BV51" s="112" t="s">
        <v>389</v>
      </c>
      <c r="BW51" s="112">
        <v>8.4</v>
      </c>
      <c r="BX51" s="112" t="s">
        <v>389</v>
      </c>
      <c r="BY51" s="112">
        <v>6.6</v>
      </c>
      <c r="BZ51" s="112" t="s">
        <v>389</v>
      </c>
      <c r="CA51" s="112">
        <v>7</v>
      </c>
      <c r="CB51" s="112" t="s">
        <v>389</v>
      </c>
      <c r="CC51" s="112">
        <v>7.4</v>
      </c>
      <c r="CD51" s="112" t="s">
        <v>389</v>
      </c>
      <c r="CE51" s="112">
        <v>7.9</v>
      </c>
      <c r="CF51" s="112" t="s">
        <v>389</v>
      </c>
      <c r="CG51" s="112">
        <v>8.1</v>
      </c>
      <c r="CH51" s="112" t="s">
        <v>389</v>
      </c>
      <c r="CI51" s="488">
        <v>6.6</v>
      </c>
      <c r="CJ51" s="486" t="s">
        <v>389</v>
      </c>
      <c r="CL51" s="267">
        <v>6</v>
      </c>
      <c r="CM51" s="119">
        <v>6</v>
      </c>
      <c r="CN51" s="124"/>
      <c r="CO51" s="125"/>
      <c r="CP51" s="126"/>
      <c r="CQ51" s="126"/>
    </row>
    <row r="52" spans="1:95" x14ac:dyDescent="0.25">
      <c r="A52" s="651"/>
      <c r="B52" s="33" t="s">
        <v>16</v>
      </c>
      <c r="C52" s="235">
        <v>150</v>
      </c>
      <c r="D52" s="246">
        <v>0.77931034482758621</v>
      </c>
      <c r="E52" s="24">
        <v>0.8848920863309353</v>
      </c>
      <c r="F52" s="23">
        <v>0</v>
      </c>
      <c r="G52" s="17">
        <v>0.7967479674796748</v>
      </c>
      <c r="H52" s="24">
        <v>0.78688524590163933</v>
      </c>
      <c r="I52" s="23">
        <v>0</v>
      </c>
      <c r="J52" s="59">
        <v>0.78802915615363056</v>
      </c>
      <c r="K52" s="91">
        <v>0.83588866611628732</v>
      </c>
      <c r="L52" s="23">
        <v>0</v>
      </c>
      <c r="M52" s="51">
        <v>1.88348546096841E-2</v>
      </c>
      <c r="N52" s="60">
        <v>1.2611748189428699E-2</v>
      </c>
      <c r="O52" s="52">
        <v>4.96062014411434E-3</v>
      </c>
      <c r="P52" s="43">
        <v>2.8951497415984099E-3</v>
      </c>
      <c r="Q52" s="52">
        <v>3.7039273306415502E-2</v>
      </c>
      <c r="R52" s="43">
        <v>4.2554709860811703E-2</v>
      </c>
      <c r="S52" s="23">
        <v>1</v>
      </c>
      <c r="T52" s="44">
        <v>2.21315765691876E-2</v>
      </c>
      <c r="U52" s="52">
        <v>2.0305683980938901E-2</v>
      </c>
      <c r="V52" s="42">
        <v>1.3559322033898299E-2</v>
      </c>
      <c r="W52" s="60">
        <v>2.0477815699658699E-2</v>
      </c>
      <c r="X52" s="23">
        <v>1</v>
      </c>
      <c r="Y52" s="190">
        <v>2</v>
      </c>
      <c r="Z52" s="311">
        <v>2</v>
      </c>
      <c r="AA52" s="312">
        <v>1</v>
      </c>
      <c r="AB52" s="188">
        <v>31</v>
      </c>
      <c r="AC52" s="187">
        <v>3</v>
      </c>
      <c r="AD52" s="52">
        <v>0.20666666666666667</v>
      </c>
      <c r="AE52" s="408">
        <v>7.4910394265232982</v>
      </c>
      <c r="AF52" s="375">
        <v>8.4259259259259256</v>
      </c>
      <c r="AG52" s="375">
        <v>7.60752688172043</v>
      </c>
      <c r="AH52" s="376">
        <v>9.1666666666666661</v>
      </c>
      <c r="AI52" s="375">
        <v>7.419354838709677</v>
      </c>
      <c r="AJ52" s="376">
        <v>8.0555555555555554</v>
      </c>
      <c r="AK52" s="375">
        <v>7.446236559139785</v>
      </c>
      <c r="AL52" s="111">
        <v>8.0555555555555554</v>
      </c>
      <c r="AM52" s="388"/>
      <c r="AN52" s="60">
        <v>0.74193548387096775</v>
      </c>
      <c r="AO52" s="23">
        <v>1</v>
      </c>
      <c r="AP52" s="52" t="s">
        <v>223</v>
      </c>
      <c r="AQ52" s="43">
        <v>0.74193548387096775</v>
      </c>
      <c r="AR52" s="23">
        <v>1</v>
      </c>
      <c r="AS52" s="24" t="s">
        <v>223</v>
      </c>
      <c r="AT52" s="43">
        <v>0.64516129032258074</v>
      </c>
      <c r="AU52" s="23">
        <v>0</v>
      </c>
      <c r="AV52" s="24" t="s">
        <v>223</v>
      </c>
      <c r="AW52" s="43">
        <v>0.77419354838709675</v>
      </c>
      <c r="AX52" s="23">
        <v>1</v>
      </c>
      <c r="AY52" s="24" t="s">
        <v>223</v>
      </c>
      <c r="AZ52" s="43">
        <v>0.90322580645161288</v>
      </c>
      <c r="BA52" s="23">
        <v>1</v>
      </c>
      <c r="BB52" s="24" t="s">
        <v>223</v>
      </c>
      <c r="BC52" s="43">
        <v>0.77419354838709675</v>
      </c>
      <c r="BD52" s="23">
        <v>1</v>
      </c>
      <c r="BE52" s="24" t="s">
        <v>223</v>
      </c>
      <c r="BF52" s="43">
        <v>0.83870967741935476</v>
      </c>
      <c r="BG52" s="23">
        <v>1</v>
      </c>
      <c r="BH52" s="91" t="s">
        <v>223</v>
      </c>
      <c r="BI52" s="44">
        <v>0.74193548387096775</v>
      </c>
      <c r="BJ52" s="23">
        <v>1</v>
      </c>
      <c r="BK52" s="145" t="s">
        <v>223</v>
      </c>
      <c r="BL52" s="471">
        <v>7</v>
      </c>
      <c r="BM52" s="523">
        <v>0</v>
      </c>
      <c r="BN52" s="285">
        <v>9</v>
      </c>
      <c r="BO52" s="190">
        <v>1</v>
      </c>
      <c r="BP52" s="25">
        <v>10</v>
      </c>
      <c r="BQ52" s="288">
        <v>10</v>
      </c>
      <c r="BR52" s="99"/>
      <c r="BS52" s="109">
        <v>8</v>
      </c>
      <c r="BT52" s="109" t="s">
        <v>389</v>
      </c>
      <c r="BU52" s="112">
        <v>6.9</v>
      </c>
      <c r="BV52" s="112" t="s">
        <v>389</v>
      </c>
      <c r="BW52" s="112">
        <v>7.7</v>
      </c>
      <c r="BX52" s="112" t="s">
        <v>389</v>
      </c>
      <c r="BY52" s="112">
        <v>6.6</v>
      </c>
      <c r="BZ52" s="112" t="s">
        <v>389</v>
      </c>
      <c r="CA52" s="112">
        <v>6.5</v>
      </c>
      <c r="CB52" s="112" t="s">
        <v>389</v>
      </c>
      <c r="CC52" s="112">
        <v>7.2</v>
      </c>
      <c r="CD52" s="112" t="s">
        <v>389</v>
      </c>
      <c r="CE52" s="112">
        <v>7.3</v>
      </c>
      <c r="CF52" s="112" t="s">
        <v>389</v>
      </c>
      <c r="CG52" s="112">
        <v>7.8</v>
      </c>
      <c r="CH52" s="112">
        <v>7.8</v>
      </c>
      <c r="CI52" s="488">
        <v>6.5</v>
      </c>
      <c r="CJ52" s="277">
        <v>7</v>
      </c>
      <c r="CL52" s="268" t="s">
        <v>223</v>
      </c>
      <c r="CM52" s="119">
        <v>0</v>
      </c>
      <c r="CN52" s="124"/>
      <c r="CO52" s="125"/>
      <c r="CP52" s="126"/>
      <c r="CQ52" s="126"/>
    </row>
    <row r="53" spans="1:95" x14ac:dyDescent="0.25">
      <c r="A53" s="651"/>
      <c r="B53" s="33" t="s">
        <v>17</v>
      </c>
      <c r="C53" s="235">
        <v>227</v>
      </c>
      <c r="D53" s="246">
        <v>0.82269503546099287</v>
      </c>
      <c r="E53" s="24">
        <v>0.79136690647482011</v>
      </c>
      <c r="F53" s="23">
        <v>0</v>
      </c>
      <c r="G53" s="17">
        <v>0.72566371681415931</v>
      </c>
      <c r="H53" s="24">
        <v>0.74015748031496065</v>
      </c>
      <c r="I53" s="23">
        <v>0</v>
      </c>
      <c r="J53" s="59">
        <v>0.77417937613757615</v>
      </c>
      <c r="K53" s="91">
        <v>0.76576219339489038</v>
      </c>
      <c r="L53" s="23">
        <v>0</v>
      </c>
      <c r="M53" s="51">
        <v>1.03792820775801E-3</v>
      </c>
      <c r="N53" s="60">
        <v>8.0176985494072508E-3</v>
      </c>
      <c r="O53" s="52">
        <v>7.5084168220792104E-4</v>
      </c>
      <c r="P53" s="43">
        <v>8.1690134293414102E-4</v>
      </c>
      <c r="Q53" s="52">
        <v>1.99416450923811E-2</v>
      </c>
      <c r="R53" s="43">
        <v>2.3692367665058299E-2</v>
      </c>
      <c r="S53" s="23">
        <v>1</v>
      </c>
      <c r="T53" s="44">
        <v>4.4579287047047797E-3</v>
      </c>
      <c r="U53" s="52">
        <v>6.7583047243559603E-3</v>
      </c>
      <c r="V53" s="42">
        <v>5.6737588652482303E-2</v>
      </c>
      <c r="W53" s="60">
        <v>4.3636363636363598E-2</v>
      </c>
      <c r="X53" s="23">
        <v>1</v>
      </c>
      <c r="Y53" s="190">
        <v>8</v>
      </c>
      <c r="Z53" s="311">
        <v>2</v>
      </c>
      <c r="AA53" s="312">
        <v>2</v>
      </c>
      <c r="AB53" s="188">
        <v>54</v>
      </c>
      <c r="AC53" s="187">
        <v>12</v>
      </c>
      <c r="AD53" s="52">
        <v>0.23788546255506607</v>
      </c>
      <c r="AE53" s="408">
        <v>7.7160493827160481</v>
      </c>
      <c r="AF53" s="375">
        <v>7.7546296296296298</v>
      </c>
      <c r="AG53" s="375">
        <v>7.6388888888888893</v>
      </c>
      <c r="AH53" s="376">
        <v>7.6388888888888893</v>
      </c>
      <c r="AI53" s="375">
        <v>7.8858024691358022</v>
      </c>
      <c r="AJ53" s="376">
        <v>7.9861111111111107</v>
      </c>
      <c r="AK53" s="375">
        <v>7.6234567901234565</v>
      </c>
      <c r="AL53" s="111">
        <v>7.6388888888888893</v>
      </c>
      <c r="AM53" s="388"/>
      <c r="AN53" s="60">
        <v>0.88888888888888895</v>
      </c>
      <c r="AO53" s="23">
        <v>1</v>
      </c>
      <c r="AP53" s="52">
        <v>0.83333333333333326</v>
      </c>
      <c r="AQ53" s="43">
        <v>0.7592592592592593</v>
      </c>
      <c r="AR53" s="23">
        <v>1</v>
      </c>
      <c r="AS53" s="24">
        <v>0.83333333333333326</v>
      </c>
      <c r="AT53" s="43">
        <v>0.81481481481481488</v>
      </c>
      <c r="AU53" s="23">
        <v>1</v>
      </c>
      <c r="AV53" s="24">
        <v>0.91666666666666674</v>
      </c>
      <c r="AW53" s="43">
        <v>0.83333333333333326</v>
      </c>
      <c r="AX53" s="23">
        <v>1</v>
      </c>
      <c r="AY53" s="24">
        <v>0.83333333333333337</v>
      </c>
      <c r="AZ53" s="43">
        <v>0.85185185185185186</v>
      </c>
      <c r="BA53" s="23">
        <v>1</v>
      </c>
      <c r="BB53" s="24">
        <v>1</v>
      </c>
      <c r="BC53" s="43">
        <v>0.7592592592592593</v>
      </c>
      <c r="BD53" s="23">
        <v>1</v>
      </c>
      <c r="BE53" s="24">
        <v>0.91666666666666674</v>
      </c>
      <c r="BF53" s="43">
        <v>0.85185185185185186</v>
      </c>
      <c r="BG53" s="23">
        <v>1</v>
      </c>
      <c r="BH53" s="91">
        <v>0.91666666666666674</v>
      </c>
      <c r="BI53" s="44">
        <v>0.85185185185185186</v>
      </c>
      <c r="BJ53" s="23">
        <v>1</v>
      </c>
      <c r="BK53" s="145">
        <v>0.91666666666666663</v>
      </c>
      <c r="BL53" s="471">
        <v>8</v>
      </c>
      <c r="BM53" s="523">
        <v>8</v>
      </c>
      <c r="BN53" s="285">
        <v>10</v>
      </c>
      <c r="BO53" s="190">
        <v>10</v>
      </c>
      <c r="BP53" s="25">
        <v>10</v>
      </c>
      <c r="BQ53" s="288">
        <v>10</v>
      </c>
      <c r="BR53" s="99"/>
      <c r="BS53" s="109">
        <v>8</v>
      </c>
      <c r="BT53" s="109" t="s">
        <v>389</v>
      </c>
      <c r="BU53" s="112">
        <v>6.8</v>
      </c>
      <c r="BV53" s="112" t="s">
        <v>389</v>
      </c>
      <c r="BW53" s="112">
        <v>7.3</v>
      </c>
      <c r="BX53" s="112" t="s">
        <v>389</v>
      </c>
      <c r="BY53" s="112">
        <v>6.8</v>
      </c>
      <c r="BZ53" s="112" t="s">
        <v>389</v>
      </c>
      <c r="CA53" s="112">
        <v>5.9</v>
      </c>
      <c r="CB53" s="112" t="s">
        <v>389</v>
      </c>
      <c r="CC53" s="112">
        <v>7.4</v>
      </c>
      <c r="CD53" s="112" t="s">
        <v>389</v>
      </c>
      <c r="CE53" s="112">
        <v>7.6</v>
      </c>
      <c r="CF53" s="112" t="s">
        <v>389</v>
      </c>
      <c r="CG53" s="112">
        <v>7.3</v>
      </c>
      <c r="CH53" s="112">
        <v>7.5</v>
      </c>
      <c r="CI53" s="488">
        <v>6.4</v>
      </c>
      <c r="CJ53" s="277">
        <v>7</v>
      </c>
      <c r="CL53" s="267">
        <v>13</v>
      </c>
      <c r="CM53" s="119">
        <v>16</v>
      </c>
      <c r="CN53" s="124"/>
      <c r="CO53" s="125"/>
      <c r="CP53" s="126"/>
      <c r="CQ53" s="126"/>
    </row>
    <row r="54" spans="1:95" x14ac:dyDescent="0.25">
      <c r="A54" s="651"/>
      <c r="B54" s="33" t="s">
        <v>18</v>
      </c>
      <c r="C54" s="235">
        <v>217</v>
      </c>
      <c r="D54" s="246">
        <v>0.7990654205607477</v>
      </c>
      <c r="E54" s="24">
        <v>0.89523809523809528</v>
      </c>
      <c r="F54" s="23">
        <v>0</v>
      </c>
      <c r="G54" s="17">
        <v>0.68852459016393441</v>
      </c>
      <c r="H54" s="24">
        <v>0.81382978723404253</v>
      </c>
      <c r="I54" s="23">
        <v>0</v>
      </c>
      <c r="J54" s="59">
        <v>0.743795005362341</v>
      </c>
      <c r="K54" s="91">
        <v>0.85453394123606885</v>
      </c>
      <c r="L54" s="23">
        <v>0</v>
      </c>
      <c r="M54" s="51">
        <v>2.0177487360574099E-2</v>
      </c>
      <c r="N54" s="60">
        <v>1.6560405123039801E-2</v>
      </c>
      <c r="O54" s="52">
        <v>2.8432980207487098E-3</v>
      </c>
      <c r="P54" s="43">
        <v>8.93884060946472E-3</v>
      </c>
      <c r="Q54" s="52">
        <v>5.6617118039540303E-2</v>
      </c>
      <c r="R54" s="43">
        <v>6.2619490205816794E-2</v>
      </c>
      <c r="S54" s="23">
        <v>0</v>
      </c>
      <c r="T54" s="44">
        <v>3.0554353101256503E-2</v>
      </c>
      <c r="U54" s="52">
        <v>2.6680356324654601E-2</v>
      </c>
      <c r="V54" s="42">
        <v>2.3980815347721798E-2</v>
      </c>
      <c r="W54" s="60">
        <v>3.2786885245901599E-2</v>
      </c>
      <c r="X54" s="23">
        <v>1</v>
      </c>
      <c r="Y54" s="190">
        <v>5</v>
      </c>
      <c r="Z54" s="311">
        <v>1</v>
      </c>
      <c r="AA54" s="312">
        <v>1</v>
      </c>
      <c r="AB54" s="188">
        <v>59</v>
      </c>
      <c r="AC54" s="187">
        <v>13</v>
      </c>
      <c r="AD54" s="52">
        <v>0.27188940092165897</v>
      </c>
      <c r="AE54" s="408">
        <v>7.5423728813559325</v>
      </c>
      <c r="AF54" s="375">
        <v>7.7991452991452981</v>
      </c>
      <c r="AG54" s="375">
        <v>7.6553672316384178</v>
      </c>
      <c r="AH54" s="375">
        <v>8.0769230769230766</v>
      </c>
      <c r="AI54" s="375">
        <v>7.7118644067796609</v>
      </c>
      <c r="AJ54" s="375">
        <v>7.9487179487179489</v>
      </c>
      <c r="AK54" s="375">
        <v>7.2598870056497171</v>
      </c>
      <c r="AL54" s="271">
        <v>7.3717948717948714</v>
      </c>
      <c r="AM54" s="388"/>
      <c r="AN54" s="60">
        <v>0.77966101694915257</v>
      </c>
      <c r="AO54" s="23">
        <v>1</v>
      </c>
      <c r="AP54" s="52">
        <v>0.92307692307692313</v>
      </c>
      <c r="AQ54" s="43">
        <v>0.77966101694915257</v>
      </c>
      <c r="AR54" s="23">
        <v>1</v>
      </c>
      <c r="AS54" s="24">
        <v>0.92307692307692313</v>
      </c>
      <c r="AT54" s="43">
        <v>0.67796610169491522</v>
      </c>
      <c r="AU54" s="23">
        <v>1</v>
      </c>
      <c r="AV54" s="24">
        <v>0.84615384615384626</v>
      </c>
      <c r="AW54" s="43">
        <v>0.83050847457627119</v>
      </c>
      <c r="AX54" s="23">
        <v>1</v>
      </c>
      <c r="AY54" s="24">
        <v>0.76923076923076927</v>
      </c>
      <c r="AZ54" s="43">
        <v>0.84745762711864414</v>
      </c>
      <c r="BA54" s="23">
        <v>1</v>
      </c>
      <c r="BB54" s="24">
        <v>0.92307692307692313</v>
      </c>
      <c r="BC54" s="43">
        <v>0.83050847457627119</v>
      </c>
      <c r="BD54" s="23">
        <v>1</v>
      </c>
      <c r="BE54" s="24">
        <v>0.84615384615384626</v>
      </c>
      <c r="BF54" s="43">
        <v>0.84745762711864403</v>
      </c>
      <c r="BG54" s="23">
        <v>1</v>
      </c>
      <c r="BH54" s="91">
        <v>0.92307692307692313</v>
      </c>
      <c r="BI54" s="44">
        <v>0.79661016949152541</v>
      </c>
      <c r="BJ54" s="23">
        <v>1</v>
      </c>
      <c r="BK54" s="145">
        <v>0.84615384615384615</v>
      </c>
      <c r="BL54" s="471">
        <v>8</v>
      </c>
      <c r="BM54" s="523">
        <v>8</v>
      </c>
      <c r="BN54" s="285">
        <v>9</v>
      </c>
      <c r="BO54" s="190">
        <v>9</v>
      </c>
      <c r="BP54" s="25">
        <v>11</v>
      </c>
      <c r="BQ54" s="288">
        <v>10</v>
      </c>
      <c r="BR54" s="99"/>
      <c r="BS54" s="109">
        <v>7.8</v>
      </c>
      <c r="BT54" s="109" t="s">
        <v>389</v>
      </c>
      <c r="BU54" s="112">
        <v>6.6</v>
      </c>
      <c r="BV54" s="112" t="s">
        <v>389</v>
      </c>
      <c r="BW54" s="112">
        <v>7.1</v>
      </c>
      <c r="BX54" s="112" t="s">
        <v>389</v>
      </c>
      <c r="BY54" s="112">
        <v>6.8</v>
      </c>
      <c r="BZ54" s="112" t="s">
        <v>389</v>
      </c>
      <c r="CA54" s="112">
        <v>6</v>
      </c>
      <c r="CB54" s="112" t="s">
        <v>389</v>
      </c>
      <c r="CC54" s="112">
        <v>6.8</v>
      </c>
      <c r="CD54" s="112" t="s">
        <v>389</v>
      </c>
      <c r="CE54" s="112">
        <v>7.4</v>
      </c>
      <c r="CF54" s="112" t="s">
        <v>389</v>
      </c>
      <c r="CG54" s="112">
        <v>7.3</v>
      </c>
      <c r="CH54" s="112">
        <v>6.9</v>
      </c>
      <c r="CI54" s="488">
        <v>6.5</v>
      </c>
      <c r="CJ54" s="277">
        <v>6.5</v>
      </c>
      <c r="CL54" s="267">
        <v>41</v>
      </c>
      <c r="CM54" s="119">
        <v>22</v>
      </c>
      <c r="CN54" s="124"/>
      <c r="CO54" s="125"/>
      <c r="CP54" s="126"/>
      <c r="CQ54" s="126"/>
    </row>
    <row r="55" spans="1:95" x14ac:dyDescent="0.25">
      <c r="A55" s="651"/>
      <c r="B55" s="33" t="s">
        <v>19</v>
      </c>
      <c r="C55" s="235">
        <v>158</v>
      </c>
      <c r="D55" s="246">
        <v>0.53205128205128205</v>
      </c>
      <c r="E55" s="24">
        <v>0.6901408450704225</v>
      </c>
      <c r="F55" s="23">
        <v>0</v>
      </c>
      <c r="G55" s="17">
        <v>0.63200000000000001</v>
      </c>
      <c r="H55" s="24">
        <v>0.69230769230769229</v>
      </c>
      <c r="I55" s="23">
        <v>0</v>
      </c>
      <c r="J55" s="59">
        <v>0.58202564102564103</v>
      </c>
      <c r="K55" s="91">
        <v>0.6912242686890574</v>
      </c>
      <c r="L55" s="23">
        <v>0</v>
      </c>
      <c r="M55" s="51">
        <v>1.2800957515301499E-2</v>
      </c>
      <c r="N55" s="60">
        <v>7.6848948994687697E-3</v>
      </c>
      <c r="O55" s="52">
        <v>2.84227248303819E-3</v>
      </c>
      <c r="P55" s="43">
        <v>1.1796987784272199E-3</v>
      </c>
      <c r="Q55" s="52">
        <v>4.2439899019639002E-2</v>
      </c>
      <c r="R55" s="43">
        <v>4.4190948299186197E-2</v>
      </c>
      <c r="S55" s="23">
        <v>0</v>
      </c>
      <c r="T55" s="44">
        <v>1.94451910328244E-2</v>
      </c>
      <c r="U55" s="52">
        <v>8.1736272505314803E-3</v>
      </c>
      <c r="V55" s="42">
        <v>2.0270270270270299E-2</v>
      </c>
      <c r="W55" s="60">
        <v>0</v>
      </c>
      <c r="X55" s="23">
        <v>1</v>
      </c>
      <c r="Y55" s="190">
        <v>3</v>
      </c>
      <c r="Z55" s="311">
        <v>1</v>
      </c>
      <c r="AA55" s="312">
        <v>1</v>
      </c>
      <c r="AB55" s="188">
        <v>11</v>
      </c>
      <c r="AC55" s="187">
        <v>2</v>
      </c>
      <c r="AD55" s="52">
        <v>6.9620253164556958E-2</v>
      </c>
      <c r="AE55" s="408">
        <v>7.2222222222222214</v>
      </c>
      <c r="AF55" s="375">
        <v>8.3333333333333339</v>
      </c>
      <c r="AG55" s="375">
        <v>6.8181818181818183</v>
      </c>
      <c r="AH55" s="375">
        <v>7.083333333333333</v>
      </c>
      <c r="AI55" s="375">
        <v>6.8939393939393936</v>
      </c>
      <c r="AJ55" s="375">
        <v>8.75</v>
      </c>
      <c r="AK55" s="375">
        <v>7.9545454545454541</v>
      </c>
      <c r="AL55" s="271">
        <v>9.1666666666666661</v>
      </c>
      <c r="AM55" s="388"/>
      <c r="AN55" s="60">
        <v>0.54545454545454541</v>
      </c>
      <c r="AO55" s="23">
        <v>0</v>
      </c>
      <c r="AP55" s="52" t="s">
        <v>223</v>
      </c>
      <c r="AQ55" s="43">
        <v>0.72727272727272729</v>
      </c>
      <c r="AR55" s="23">
        <v>1</v>
      </c>
      <c r="AS55" s="24" t="s">
        <v>223</v>
      </c>
      <c r="AT55" s="43">
        <v>0.63636363636363635</v>
      </c>
      <c r="AU55" s="23">
        <v>0</v>
      </c>
      <c r="AV55" s="24" t="s">
        <v>223</v>
      </c>
      <c r="AW55" s="43">
        <v>0.72727272727272729</v>
      </c>
      <c r="AX55" s="23">
        <v>1</v>
      </c>
      <c r="AY55" s="24" t="s">
        <v>223</v>
      </c>
      <c r="AZ55" s="43">
        <v>0.54545454545454541</v>
      </c>
      <c r="BA55" s="23">
        <v>0</v>
      </c>
      <c r="BB55" s="24" t="s">
        <v>223</v>
      </c>
      <c r="BC55" s="43">
        <v>0.63636363636363635</v>
      </c>
      <c r="BD55" s="23">
        <v>0</v>
      </c>
      <c r="BE55" s="24" t="s">
        <v>223</v>
      </c>
      <c r="BF55" s="43">
        <v>0.72727272727272729</v>
      </c>
      <c r="BG55" s="23">
        <v>1</v>
      </c>
      <c r="BH55" s="91" t="s">
        <v>223</v>
      </c>
      <c r="BI55" s="44">
        <v>0.54545454545454541</v>
      </c>
      <c r="BJ55" s="23">
        <v>0</v>
      </c>
      <c r="BK55" s="145" t="s">
        <v>223</v>
      </c>
      <c r="BL55" s="471">
        <v>3</v>
      </c>
      <c r="BM55" s="523">
        <v>0</v>
      </c>
      <c r="BN55" s="285">
        <v>4</v>
      </c>
      <c r="BO55" s="190">
        <v>1</v>
      </c>
      <c r="BP55" s="25">
        <v>1</v>
      </c>
      <c r="BQ55" s="288">
        <v>1</v>
      </c>
      <c r="BR55" s="99"/>
      <c r="BS55" s="109">
        <v>7.3</v>
      </c>
      <c r="BT55" s="109" t="s">
        <v>389</v>
      </c>
      <c r="BU55" s="112">
        <v>6.3</v>
      </c>
      <c r="BV55" s="112" t="s">
        <v>389</v>
      </c>
      <c r="BW55" s="112">
        <v>6.8</v>
      </c>
      <c r="BX55" s="112" t="s">
        <v>389</v>
      </c>
      <c r="BY55" s="112">
        <v>6.1</v>
      </c>
      <c r="BZ55" s="112" t="s">
        <v>389</v>
      </c>
      <c r="CA55" s="112">
        <v>5.4</v>
      </c>
      <c r="CB55" s="112" t="s">
        <v>389</v>
      </c>
      <c r="CC55" s="112">
        <v>6</v>
      </c>
      <c r="CD55" s="112" t="s">
        <v>389</v>
      </c>
      <c r="CE55" s="112">
        <v>7.1</v>
      </c>
      <c r="CF55" s="112" t="s">
        <v>389</v>
      </c>
      <c r="CG55" s="112">
        <v>6.9</v>
      </c>
      <c r="CH55" s="112" t="s">
        <v>389</v>
      </c>
      <c r="CI55" s="488">
        <v>5.9</v>
      </c>
      <c r="CJ55" s="410" t="s">
        <v>389</v>
      </c>
      <c r="CL55" s="270">
        <v>11</v>
      </c>
      <c r="CM55" s="119">
        <v>14</v>
      </c>
      <c r="CN55" s="124"/>
      <c r="CO55" s="125"/>
      <c r="CP55" s="126"/>
      <c r="CQ55" s="126"/>
    </row>
    <row r="56" spans="1:95" x14ac:dyDescent="0.25">
      <c r="A56" s="651"/>
      <c r="B56" s="33" t="s">
        <v>20</v>
      </c>
      <c r="C56" s="235">
        <v>290</v>
      </c>
      <c r="D56" s="246">
        <v>0.87404580152671751</v>
      </c>
      <c r="E56" s="24">
        <v>0.86100386100386095</v>
      </c>
      <c r="F56" s="23">
        <v>0</v>
      </c>
      <c r="G56" s="17">
        <v>0.88940092165898621</v>
      </c>
      <c r="H56" s="24">
        <v>0.8223140495867769</v>
      </c>
      <c r="I56" s="23">
        <v>0</v>
      </c>
      <c r="J56" s="59">
        <v>0.88172336159285192</v>
      </c>
      <c r="K56" s="91">
        <v>0.84165895529531887</v>
      </c>
      <c r="L56" s="23">
        <v>0</v>
      </c>
      <c r="M56" s="51">
        <v>2.6686029086206198E-2</v>
      </c>
      <c r="N56" s="60">
        <v>2.0438736077827702E-2</v>
      </c>
      <c r="O56" s="52">
        <v>1.4873952316496199E-3</v>
      </c>
      <c r="P56" s="43">
        <v>7.7279733306137204E-3</v>
      </c>
      <c r="Q56" s="52">
        <v>6.5744813054022203E-2</v>
      </c>
      <c r="R56" s="43">
        <v>6.8142473040946297E-2</v>
      </c>
      <c r="S56" s="23">
        <v>0</v>
      </c>
      <c r="T56" s="44">
        <v>4.0959642218543001E-2</v>
      </c>
      <c r="U56" s="52">
        <v>3.1776867518438098E-2</v>
      </c>
      <c r="V56" s="42">
        <v>3.2786885245901599E-2</v>
      </c>
      <c r="W56" s="60">
        <v>3.1128404669260701E-2</v>
      </c>
      <c r="X56" s="23">
        <v>1</v>
      </c>
      <c r="Y56" s="190">
        <v>9</v>
      </c>
      <c r="Z56" s="311">
        <v>1</v>
      </c>
      <c r="AA56" s="312">
        <v>1</v>
      </c>
      <c r="AB56" s="188">
        <v>25</v>
      </c>
      <c r="AC56" s="187">
        <v>15</v>
      </c>
      <c r="AD56" s="52">
        <v>8.6206896551724144E-2</v>
      </c>
      <c r="AE56" s="408">
        <v>7.4666666666666668</v>
      </c>
      <c r="AF56" s="375">
        <v>7.6666666666666679</v>
      </c>
      <c r="AG56" s="375">
        <v>7.4666666666666668</v>
      </c>
      <c r="AH56" s="376">
        <v>7.7777777777777777</v>
      </c>
      <c r="AI56" s="375">
        <v>7.2666666666666666</v>
      </c>
      <c r="AJ56" s="376">
        <v>7.7777777777777777</v>
      </c>
      <c r="AK56" s="375">
        <v>7.666666666666667</v>
      </c>
      <c r="AL56" s="111">
        <v>7.4444444444444446</v>
      </c>
      <c r="AM56" s="388"/>
      <c r="AN56" s="475">
        <v>0.64</v>
      </c>
      <c r="AO56" s="476">
        <v>0</v>
      </c>
      <c r="AP56" s="476">
        <v>0.73333333333333339</v>
      </c>
      <c r="AQ56" s="477">
        <v>0.67999999999999994</v>
      </c>
      <c r="AR56" s="476">
        <v>1</v>
      </c>
      <c r="AS56" s="478">
        <v>0.8</v>
      </c>
      <c r="AT56" s="477">
        <v>0.67999999999999994</v>
      </c>
      <c r="AU56" s="476">
        <v>1</v>
      </c>
      <c r="AV56" s="478">
        <v>0.73333333333333339</v>
      </c>
      <c r="AW56" s="477">
        <v>0.72</v>
      </c>
      <c r="AX56" s="150">
        <v>1</v>
      </c>
      <c r="AY56" s="24">
        <v>0.8</v>
      </c>
      <c r="AZ56" s="149">
        <v>0.72</v>
      </c>
      <c r="BA56" s="150">
        <v>1</v>
      </c>
      <c r="BB56" s="24">
        <v>0.79999999999999993</v>
      </c>
      <c r="BC56" s="477">
        <v>0.68</v>
      </c>
      <c r="BD56" s="476">
        <v>1</v>
      </c>
      <c r="BE56" s="478">
        <v>0.73333333333333339</v>
      </c>
      <c r="BF56" s="477">
        <v>0.72000000000000008</v>
      </c>
      <c r="BG56" s="476">
        <v>1</v>
      </c>
      <c r="BH56" s="479">
        <v>0.8</v>
      </c>
      <c r="BI56" s="477">
        <v>0.68</v>
      </c>
      <c r="BJ56" s="23">
        <v>1</v>
      </c>
      <c r="BK56" s="145">
        <v>0.8</v>
      </c>
      <c r="BL56" s="472">
        <v>7</v>
      </c>
      <c r="BM56" s="524">
        <v>8</v>
      </c>
      <c r="BN56" s="285">
        <v>8</v>
      </c>
      <c r="BO56" s="190">
        <v>9</v>
      </c>
      <c r="BP56" s="25">
        <v>1</v>
      </c>
      <c r="BQ56" s="288">
        <v>5</v>
      </c>
      <c r="BR56" s="99"/>
      <c r="BS56" s="109">
        <v>7.4</v>
      </c>
      <c r="BT56" s="109" t="s">
        <v>389</v>
      </c>
      <c r="BU56" s="112">
        <v>6.4</v>
      </c>
      <c r="BV56" s="112" t="s">
        <v>389</v>
      </c>
      <c r="BW56" s="112">
        <v>6.8</v>
      </c>
      <c r="BX56" s="112" t="s">
        <v>389</v>
      </c>
      <c r="BY56" s="112">
        <v>6.5</v>
      </c>
      <c r="BZ56" s="112" t="s">
        <v>389</v>
      </c>
      <c r="CA56" s="112">
        <v>5.7</v>
      </c>
      <c r="CB56" s="112" t="s">
        <v>389</v>
      </c>
      <c r="CC56" s="112">
        <v>6.6</v>
      </c>
      <c r="CD56" s="112" t="s">
        <v>389</v>
      </c>
      <c r="CE56" s="112">
        <v>6.9</v>
      </c>
      <c r="CF56" s="112" t="s">
        <v>389</v>
      </c>
      <c r="CG56" s="112">
        <v>6.8</v>
      </c>
      <c r="CH56" s="112" t="s">
        <v>389</v>
      </c>
      <c r="CI56" s="488">
        <v>6.2</v>
      </c>
      <c r="CJ56" s="410" t="s">
        <v>389</v>
      </c>
      <c r="CL56" s="270">
        <v>21</v>
      </c>
      <c r="CM56" s="119">
        <v>11</v>
      </c>
      <c r="CN56" s="124"/>
      <c r="CO56" s="125"/>
      <c r="CP56" s="126"/>
      <c r="CQ56" s="126"/>
    </row>
    <row r="57" spans="1:95" ht="15.75" thickBot="1" x14ac:dyDescent="0.3">
      <c r="A57" s="652"/>
      <c r="B57" s="33" t="s">
        <v>21</v>
      </c>
      <c r="C57" s="235">
        <v>971</v>
      </c>
      <c r="D57" s="246">
        <v>0.39868565169769987</v>
      </c>
      <c r="E57" s="24">
        <v>0.57363420427553447</v>
      </c>
      <c r="F57" s="23">
        <v>0</v>
      </c>
      <c r="G57" s="17">
        <v>0.59420289855072461</v>
      </c>
      <c r="H57" s="24">
        <v>0.55335968379446643</v>
      </c>
      <c r="I57" s="23">
        <v>0</v>
      </c>
      <c r="J57" s="59">
        <v>0.49644427512421224</v>
      </c>
      <c r="K57" s="91">
        <v>0.56349694403500039</v>
      </c>
      <c r="L57" s="23">
        <v>0</v>
      </c>
      <c r="M57" s="51">
        <v>1.23147157269174E-2</v>
      </c>
      <c r="N57" s="60">
        <v>1.7883986539095301E-2</v>
      </c>
      <c r="O57" s="52">
        <v>1.9540281121536E-2</v>
      </c>
      <c r="P57" s="43">
        <v>1.44801514765371E-2</v>
      </c>
      <c r="Q57" s="52">
        <v>8.5599253822697799E-2</v>
      </c>
      <c r="R57" s="43">
        <v>9.5232231858679406E-2</v>
      </c>
      <c r="S57" s="23">
        <v>0</v>
      </c>
      <c r="T57" s="44">
        <v>4.7401436059761402E-2</v>
      </c>
      <c r="U57" s="52">
        <v>4.1775626149231498E-2</v>
      </c>
      <c r="V57" s="42">
        <v>2.2880915236609501E-2</v>
      </c>
      <c r="W57" s="60">
        <v>2.8713418001104399E-2</v>
      </c>
      <c r="X57" s="23">
        <v>1</v>
      </c>
      <c r="Y57" s="190">
        <v>22</v>
      </c>
      <c r="Z57" s="311">
        <v>1</v>
      </c>
      <c r="AA57" s="312">
        <v>1</v>
      </c>
      <c r="AB57" s="188">
        <v>76</v>
      </c>
      <c r="AC57" s="187">
        <v>6</v>
      </c>
      <c r="AD57" s="52">
        <v>7.8269824922760037E-2</v>
      </c>
      <c r="AE57" s="408">
        <v>6.6264619883040945</v>
      </c>
      <c r="AF57" s="375">
        <v>6.3888888888888893</v>
      </c>
      <c r="AG57" s="375">
        <v>6.9846491228070171</v>
      </c>
      <c r="AH57" s="375">
        <v>6.5277777777777777</v>
      </c>
      <c r="AI57" s="375">
        <v>5.7565789473684212</v>
      </c>
      <c r="AJ57" s="375">
        <v>5.416666666666667</v>
      </c>
      <c r="AK57" s="375">
        <v>7.1381578947368425</v>
      </c>
      <c r="AL57" s="271">
        <v>7.2222222222222223</v>
      </c>
      <c r="AM57" s="388"/>
      <c r="AN57" s="60">
        <v>0.68421052631578949</v>
      </c>
      <c r="AO57" s="23">
        <v>1</v>
      </c>
      <c r="AP57" s="52">
        <v>0.33333333333333331</v>
      </c>
      <c r="AQ57" s="43">
        <v>0.73684210526315796</v>
      </c>
      <c r="AR57" s="23">
        <v>1</v>
      </c>
      <c r="AS57" s="24">
        <v>0.66666666666666663</v>
      </c>
      <c r="AT57" s="43">
        <v>0.36842105263157898</v>
      </c>
      <c r="AU57" s="23">
        <v>0</v>
      </c>
      <c r="AV57" s="24">
        <v>0.33333333333333331</v>
      </c>
      <c r="AW57" s="43">
        <v>0.51315789473684215</v>
      </c>
      <c r="AX57" s="23">
        <v>0</v>
      </c>
      <c r="AY57" s="24">
        <v>0.66666666666666663</v>
      </c>
      <c r="AZ57" s="43">
        <v>0.64473684210526316</v>
      </c>
      <c r="BA57" s="23">
        <v>0</v>
      </c>
      <c r="BB57" s="24">
        <v>1</v>
      </c>
      <c r="BC57" s="43">
        <v>0.40789473684210531</v>
      </c>
      <c r="BD57" s="23">
        <v>0</v>
      </c>
      <c r="BE57" s="24">
        <v>0.33333333333333331</v>
      </c>
      <c r="BF57" s="43">
        <v>0.48684210526315785</v>
      </c>
      <c r="BG57" s="23">
        <v>0</v>
      </c>
      <c r="BH57" s="91">
        <v>0.33333333333333331</v>
      </c>
      <c r="BI57" s="44">
        <v>0.46052631578947367</v>
      </c>
      <c r="BJ57" s="23">
        <v>0</v>
      </c>
      <c r="BK57" s="145">
        <v>0.33333333333333331</v>
      </c>
      <c r="BL57" s="471">
        <v>2</v>
      </c>
      <c r="BM57" s="523">
        <v>1</v>
      </c>
      <c r="BN57" s="285">
        <v>3</v>
      </c>
      <c r="BO57" s="190">
        <v>2</v>
      </c>
      <c r="BP57" s="25">
        <v>3</v>
      </c>
      <c r="BQ57" s="288">
        <v>3</v>
      </c>
      <c r="BR57" s="99"/>
      <c r="BS57" s="109">
        <v>6.7</v>
      </c>
      <c r="BT57" s="109" t="s">
        <v>389</v>
      </c>
      <c r="BU57" s="112">
        <v>5.5</v>
      </c>
      <c r="BV57" s="112" t="s">
        <v>389</v>
      </c>
      <c r="BW57" s="112">
        <v>6.2</v>
      </c>
      <c r="BX57" s="112" t="s">
        <v>389</v>
      </c>
      <c r="BY57" s="112">
        <v>6.3</v>
      </c>
      <c r="BZ57" s="112" t="s">
        <v>389</v>
      </c>
      <c r="CA57" s="112">
        <v>4.3</v>
      </c>
      <c r="CB57" s="112" t="s">
        <v>389</v>
      </c>
      <c r="CC57" s="112">
        <v>5.6</v>
      </c>
      <c r="CD57" s="112" t="s">
        <v>389</v>
      </c>
      <c r="CE57" s="112">
        <v>5.7</v>
      </c>
      <c r="CF57" s="112" t="s">
        <v>389</v>
      </c>
      <c r="CG57" s="112">
        <v>6.6</v>
      </c>
      <c r="CH57" s="112">
        <v>6.9</v>
      </c>
      <c r="CI57" s="488">
        <v>5.8</v>
      </c>
      <c r="CJ57" s="277">
        <v>6.5</v>
      </c>
      <c r="CL57" s="267">
        <v>24</v>
      </c>
      <c r="CM57" s="119">
        <v>38</v>
      </c>
      <c r="CN57" s="124"/>
      <c r="CO57" s="125"/>
      <c r="CP57" s="126"/>
      <c r="CQ57" s="126"/>
    </row>
    <row r="58" spans="1:95" ht="15" customHeight="1" x14ac:dyDescent="0.25">
      <c r="A58" s="650" t="s">
        <v>299</v>
      </c>
      <c r="B58" s="151" t="s">
        <v>3</v>
      </c>
      <c r="C58" s="235">
        <v>36</v>
      </c>
      <c r="D58" s="246">
        <v>0.70967741935483875</v>
      </c>
      <c r="E58" s="24">
        <v>0.77777777777777779</v>
      </c>
      <c r="F58" s="23">
        <v>0</v>
      </c>
      <c r="G58" s="17">
        <v>0.64</v>
      </c>
      <c r="H58" s="24">
        <v>0.77777777777777779</v>
      </c>
      <c r="I58" s="23">
        <v>0</v>
      </c>
      <c r="J58" s="59">
        <v>0.67483870967741932</v>
      </c>
      <c r="K58" s="91">
        <v>0.77777777777777779</v>
      </c>
      <c r="L58" s="23">
        <v>0</v>
      </c>
      <c r="M58" s="51">
        <v>2.4934922592135901E-2</v>
      </c>
      <c r="N58" s="60">
        <v>0</v>
      </c>
      <c r="O58" s="52">
        <v>0</v>
      </c>
      <c r="P58" s="43">
        <v>0</v>
      </c>
      <c r="Q58" s="52">
        <v>3.0552130428825899E-2</v>
      </c>
      <c r="R58" s="43">
        <v>5.1919385796545099E-2</v>
      </c>
      <c r="S58" s="23">
        <v>1</v>
      </c>
      <c r="T58" s="44">
        <v>2.4934922592135901E-2</v>
      </c>
      <c r="U58" s="52">
        <v>1.42034548944338E-2</v>
      </c>
      <c r="V58" s="42">
        <v>0</v>
      </c>
      <c r="W58" s="60">
        <v>7.69230769230769E-2</v>
      </c>
      <c r="X58" s="23">
        <v>1</v>
      </c>
      <c r="Y58" s="190">
        <v>0</v>
      </c>
      <c r="Z58" s="311">
        <v>2</v>
      </c>
      <c r="AA58" s="312">
        <v>1</v>
      </c>
      <c r="AB58" s="188">
        <v>3</v>
      </c>
      <c r="AC58" s="187">
        <v>0</v>
      </c>
      <c r="AD58" s="52">
        <v>8.3333333333333329E-2</v>
      </c>
      <c r="AE58" s="388"/>
      <c r="AF58" s="370"/>
      <c r="AG58" s="387"/>
      <c r="AH58" s="370"/>
      <c r="AI58" s="387"/>
      <c r="AJ58" s="370"/>
      <c r="AK58" s="387"/>
      <c r="AL58" s="379"/>
      <c r="AM58" s="388"/>
      <c r="AN58" s="208" t="s">
        <v>223</v>
      </c>
      <c r="AO58" s="150">
        <v>0</v>
      </c>
      <c r="AP58" s="150" t="s">
        <v>223</v>
      </c>
      <c r="AQ58" s="149" t="s">
        <v>223</v>
      </c>
      <c r="AR58" s="150">
        <v>0</v>
      </c>
      <c r="AS58" s="24" t="s">
        <v>223</v>
      </c>
      <c r="AT58" s="149" t="s">
        <v>223</v>
      </c>
      <c r="AU58" s="150">
        <v>0</v>
      </c>
      <c r="AV58" s="24" t="s">
        <v>223</v>
      </c>
      <c r="AW58" s="149" t="s">
        <v>223</v>
      </c>
      <c r="AX58" s="150">
        <v>0</v>
      </c>
      <c r="AY58" s="24" t="s">
        <v>223</v>
      </c>
      <c r="AZ58" s="149" t="s">
        <v>223</v>
      </c>
      <c r="BA58" s="150">
        <v>0</v>
      </c>
      <c r="BB58" s="24" t="s">
        <v>223</v>
      </c>
      <c r="BC58" s="149" t="s">
        <v>223</v>
      </c>
      <c r="BD58" s="150">
        <v>0</v>
      </c>
      <c r="BE58" s="24" t="s">
        <v>223</v>
      </c>
      <c r="BF58" s="149" t="s">
        <v>223</v>
      </c>
      <c r="BG58" s="150">
        <v>0</v>
      </c>
      <c r="BH58" s="91" t="s">
        <v>223</v>
      </c>
      <c r="BI58" s="149" t="s">
        <v>223</v>
      </c>
      <c r="BJ58" s="23">
        <v>0</v>
      </c>
      <c r="BK58" s="145" t="s">
        <v>223</v>
      </c>
      <c r="BL58" s="474"/>
      <c r="BM58" s="524">
        <v>0</v>
      </c>
      <c r="BN58" s="285">
        <v>2</v>
      </c>
      <c r="BO58" s="190">
        <v>1</v>
      </c>
      <c r="BP58" s="25">
        <v>2</v>
      </c>
      <c r="BQ58" s="288">
        <v>2</v>
      </c>
      <c r="BR58" s="99"/>
      <c r="BS58" s="483"/>
      <c r="BT58" s="483" t="s">
        <v>389</v>
      </c>
      <c r="BU58" s="482"/>
      <c r="BV58" s="482" t="s">
        <v>389</v>
      </c>
      <c r="BW58" s="482"/>
      <c r="BX58" s="482" t="s">
        <v>389</v>
      </c>
      <c r="BY58" s="482"/>
      <c r="BZ58" s="482" t="s">
        <v>389</v>
      </c>
      <c r="CA58" s="482"/>
      <c r="CB58" s="482" t="s">
        <v>389</v>
      </c>
      <c r="CC58" s="482"/>
      <c r="CD58" s="482" t="s">
        <v>389</v>
      </c>
      <c r="CE58" s="482"/>
      <c r="CF58" s="482" t="s">
        <v>389</v>
      </c>
      <c r="CG58" s="482"/>
      <c r="CH58" s="482"/>
      <c r="CI58" s="490"/>
      <c r="CJ58" s="410"/>
      <c r="CL58" s="268" t="s">
        <v>223</v>
      </c>
      <c r="CM58" s="119">
        <v>0</v>
      </c>
      <c r="CN58" s="124"/>
      <c r="CO58" s="125"/>
      <c r="CP58" s="126"/>
      <c r="CQ58" s="126"/>
    </row>
    <row r="59" spans="1:95" x14ac:dyDescent="0.25">
      <c r="A59" s="651"/>
      <c r="B59" s="151" t="s">
        <v>5</v>
      </c>
      <c r="C59" s="235">
        <v>3</v>
      </c>
      <c r="D59" s="246">
        <v>1</v>
      </c>
      <c r="E59" s="24">
        <v>0.8</v>
      </c>
      <c r="F59" s="23">
        <v>1</v>
      </c>
      <c r="G59" s="17">
        <v>0.5</v>
      </c>
      <c r="H59" s="24">
        <v>0</v>
      </c>
      <c r="I59" s="23">
        <v>0</v>
      </c>
      <c r="J59" s="59">
        <v>0.75</v>
      </c>
      <c r="K59" s="91">
        <v>0.4</v>
      </c>
      <c r="L59" s="23">
        <v>0</v>
      </c>
      <c r="M59" s="51">
        <v>0</v>
      </c>
      <c r="N59" s="60">
        <v>0</v>
      </c>
      <c r="O59" s="52">
        <v>0</v>
      </c>
      <c r="P59" s="43">
        <v>0</v>
      </c>
      <c r="Q59" s="52">
        <v>1.03425985778927E-2</v>
      </c>
      <c r="R59" s="43">
        <v>7.3728591530911299E-3</v>
      </c>
      <c r="S59" s="23">
        <v>1</v>
      </c>
      <c r="T59" s="44">
        <v>0</v>
      </c>
      <c r="U59" s="52">
        <v>0</v>
      </c>
      <c r="V59" s="42">
        <v>0</v>
      </c>
      <c r="W59" s="60">
        <v>0</v>
      </c>
      <c r="X59" s="23">
        <v>1</v>
      </c>
      <c r="Y59" s="190">
        <v>0</v>
      </c>
      <c r="Z59" s="311">
        <v>2</v>
      </c>
      <c r="AA59" s="312">
        <v>2</v>
      </c>
      <c r="AB59" s="188">
        <v>1</v>
      </c>
      <c r="AC59" s="187">
        <v>0</v>
      </c>
      <c r="AD59" s="52">
        <v>0.33333333333333331</v>
      </c>
      <c r="AE59" s="388"/>
      <c r="AF59" s="370"/>
      <c r="AG59" s="387"/>
      <c r="AH59" s="370"/>
      <c r="AI59" s="387"/>
      <c r="AJ59" s="370"/>
      <c r="AK59" s="387"/>
      <c r="AL59" s="379"/>
      <c r="AM59" s="388"/>
      <c r="AN59" s="208" t="s">
        <v>223</v>
      </c>
      <c r="AO59" s="150">
        <v>0</v>
      </c>
      <c r="AP59" s="150" t="s">
        <v>223</v>
      </c>
      <c r="AQ59" s="149" t="s">
        <v>223</v>
      </c>
      <c r="AR59" s="150">
        <v>0</v>
      </c>
      <c r="AS59" s="24" t="s">
        <v>223</v>
      </c>
      <c r="AT59" s="149" t="s">
        <v>223</v>
      </c>
      <c r="AU59" s="150">
        <v>0</v>
      </c>
      <c r="AV59" s="24" t="s">
        <v>223</v>
      </c>
      <c r="AW59" s="149" t="s">
        <v>223</v>
      </c>
      <c r="AX59" s="150">
        <v>0</v>
      </c>
      <c r="AY59" s="24" t="s">
        <v>223</v>
      </c>
      <c r="AZ59" s="149" t="s">
        <v>223</v>
      </c>
      <c r="BA59" s="150">
        <v>0</v>
      </c>
      <c r="BB59" s="24" t="s">
        <v>223</v>
      </c>
      <c r="BC59" s="149" t="s">
        <v>223</v>
      </c>
      <c r="BD59" s="150">
        <v>0</v>
      </c>
      <c r="BE59" s="24" t="s">
        <v>223</v>
      </c>
      <c r="BF59" s="149" t="s">
        <v>223</v>
      </c>
      <c r="BG59" s="150">
        <v>0</v>
      </c>
      <c r="BH59" s="91" t="s">
        <v>223</v>
      </c>
      <c r="BI59" s="149" t="s">
        <v>223</v>
      </c>
      <c r="BJ59" s="23">
        <v>0</v>
      </c>
      <c r="BK59" s="145" t="s">
        <v>223</v>
      </c>
      <c r="BL59" s="474"/>
      <c r="BM59" s="524">
        <v>0</v>
      </c>
      <c r="BN59" s="285">
        <v>2</v>
      </c>
      <c r="BO59" s="190">
        <v>2</v>
      </c>
      <c r="BP59" s="25">
        <v>2</v>
      </c>
      <c r="BQ59" s="288">
        <v>1</v>
      </c>
      <c r="BR59" s="99"/>
      <c r="BS59" s="483"/>
      <c r="BT59" s="483" t="s">
        <v>389</v>
      </c>
      <c r="BU59" s="482"/>
      <c r="BV59" s="482" t="s">
        <v>389</v>
      </c>
      <c r="BW59" s="482"/>
      <c r="BX59" s="482" t="s">
        <v>389</v>
      </c>
      <c r="BY59" s="482"/>
      <c r="BZ59" s="482" t="s">
        <v>389</v>
      </c>
      <c r="CA59" s="482"/>
      <c r="CB59" s="482" t="s">
        <v>389</v>
      </c>
      <c r="CC59" s="482"/>
      <c r="CD59" s="482" t="s">
        <v>389</v>
      </c>
      <c r="CE59" s="482"/>
      <c r="CF59" s="482" t="s">
        <v>389</v>
      </c>
      <c r="CG59" s="482"/>
      <c r="CH59" s="482"/>
      <c r="CI59" s="490"/>
      <c r="CJ59" s="410"/>
      <c r="CL59" s="269" t="s">
        <v>223</v>
      </c>
      <c r="CM59" s="119">
        <v>0</v>
      </c>
      <c r="CN59" s="124"/>
      <c r="CO59" s="125"/>
      <c r="CP59" s="126"/>
      <c r="CQ59" s="126"/>
    </row>
    <row r="60" spans="1:95" x14ac:dyDescent="0.25">
      <c r="A60" s="651"/>
      <c r="B60" s="151" t="s">
        <v>38</v>
      </c>
      <c r="C60" s="235">
        <v>21</v>
      </c>
      <c r="D60" s="246">
        <v>0.85</v>
      </c>
      <c r="E60" s="24">
        <v>0.95</v>
      </c>
      <c r="F60" s="23">
        <v>0</v>
      </c>
      <c r="G60" s="17">
        <v>0.70588235294117652</v>
      </c>
      <c r="H60" s="24">
        <v>0.85</v>
      </c>
      <c r="I60" s="23">
        <v>0</v>
      </c>
      <c r="J60" s="59">
        <v>0.77794117647058825</v>
      </c>
      <c r="K60" s="91">
        <v>0.89999999999999991</v>
      </c>
      <c r="L60" s="23">
        <v>0</v>
      </c>
      <c r="M60" s="51">
        <v>3.2689141840970899E-3</v>
      </c>
      <c r="N60" s="60">
        <v>0</v>
      </c>
      <c r="O60" s="52">
        <v>0</v>
      </c>
      <c r="P60" s="43">
        <v>7.45473610700102E-3</v>
      </c>
      <c r="Q60" s="52">
        <v>1.5527342374461199E-2</v>
      </c>
      <c r="R60" s="43">
        <v>2.5825335799253502E-2</v>
      </c>
      <c r="S60" s="23">
        <v>1</v>
      </c>
      <c r="T60" s="44">
        <v>0</v>
      </c>
      <c r="U60" s="52">
        <v>0</v>
      </c>
      <c r="V60" s="42">
        <v>5.1282051282051301E-2</v>
      </c>
      <c r="W60" s="60">
        <v>0</v>
      </c>
      <c r="X60" s="23">
        <v>1</v>
      </c>
      <c r="Y60" s="190">
        <v>1</v>
      </c>
      <c r="Z60" s="311">
        <v>2</v>
      </c>
      <c r="AA60" s="312">
        <v>3</v>
      </c>
      <c r="AB60" s="188">
        <v>1</v>
      </c>
      <c r="AC60" s="187">
        <v>0</v>
      </c>
      <c r="AD60" s="52">
        <v>4.7619047619047616E-2</v>
      </c>
      <c r="AE60" s="388"/>
      <c r="AF60" s="370"/>
      <c r="AG60" s="387"/>
      <c r="AH60" s="370"/>
      <c r="AI60" s="387"/>
      <c r="AJ60" s="370"/>
      <c r="AK60" s="387"/>
      <c r="AL60" s="379"/>
      <c r="AM60" s="388"/>
      <c r="AN60" s="208" t="s">
        <v>223</v>
      </c>
      <c r="AO60" s="150">
        <v>0</v>
      </c>
      <c r="AP60" s="150" t="s">
        <v>223</v>
      </c>
      <c r="AQ60" s="149" t="s">
        <v>223</v>
      </c>
      <c r="AR60" s="150">
        <v>0</v>
      </c>
      <c r="AS60" s="24" t="s">
        <v>223</v>
      </c>
      <c r="AT60" s="149" t="s">
        <v>223</v>
      </c>
      <c r="AU60" s="150">
        <v>0</v>
      </c>
      <c r="AV60" s="24" t="s">
        <v>223</v>
      </c>
      <c r="AW60" s="149" t="s">
        <v>223</v>
      </c>
      <c r="AX60" s="150">
        <v>0</v>
      </c>
      <c r="AY60" s="24" t="s">
        <v>223</v>
      </c>
      <c r="AZ60" s="149" t="s">
        <v>223</v>
      </c>
      <c r="BA60" s="150">
        <v>0</v>
      </c>
      <c r="BB60" s="24" t="s">
        <v>223</v>
      </c>
      <c r="BC60" s="149" t="s">
        <v>223</v>
      </c>
      <c r="BD60" s="150">
        <v>0</v>
      </c>
      <c r="BE60" s="24" t="s">
        <v>223</v>
      </c>
      <c r="BF60" s="149" t="s">
        <v>223</v>
      </c>
      <c r="BG60" s="150">
        <v>0</v>
      </c>
      <c r="BH60" s="91" t="s">
        <v>223</v>
      </c>
      <c r="BI60" s="149" t="s">
        <v>223</v>
      </c>
      <c r="BJ60" s="23">
        <v>0</v>
      </c>
      <c r="BK60" s="145" t="s">
        <v>223</v>
      </c>
      <c r="BL60" s="474"/>
      <c r="BM60" s="524">
        <v>0</v>
      </c>
      <c r="BN60" s="285">
        <v>2</v>
      </c>
      <c r="BO60" s="190">
        <v>3</v>
      </c>
      <c r="BP60" s="25">
        <v>2</v>
      </c>
      <c r="BQ60" s="288">
        <v>2</v>
      </c>
      <c r="BR60" s="99"/>
      <c r="BS60" s="483"/>
      <c r="BT60" s="483" t="s">
        <v>389</v>
      </c>
      <c r="BU60" s="482"/>
      <c r="BV60" s="482" t="s">
        <v>389</v>
      </c>
      <c r="BW60" s="482"/>
      <c r="BX60" s="482" t="s">
        <v>389</v>
      </c>
      <c r="BY60" s="482"/>
      <c r="BZ60" s="482" t="s">
        <v>389</v>
      </c>
      <c r="CA60" s="482"/>
      <c r="CB60" s="482" t="s">
        <v>389</v>
      </c>
      <c r="CC60" s="482"/>
      <c r="CD60" s="482" t="s">
        <v>389</v>
      </c>
      <c r="CE60" s="482"/>
      <c r="CF60" s="482" t="s">
        <v>389</v>
      </c>
      <c r="CG60" s="482"/>
      <c r="CH60" s="482"/>
      <c r="CI60" s="490"/>
      <c r="CJ60" s="410"/>
      <c r="CL60" s="268" t="s">
        <v>223</v>
      </c>
      <c r="CM60" s="119">
        <v>0</v>
      </c>
      <c r="CN60" s="124"/>
      <c r="CO60" s="125"/>
      <c r="CP60" s="126"/>
      <c r="CQ60" s="126"/>
    </row>
    <row r="61" spans="1:95" x14ac:dyDescent="0.25">
      <c r="A61" s="651"/>
      <c r="B61" s="33" t="s">
        <v>40</v>
      </c>
      <c r="C61" s="235">
        <v>110</v>
      </c>
      <c r="D61" s="246">
        <v>0.82524271844660191</v>
      </c>
      <c r="E61" s="24">
        <v>0.87254901960784315</v>
      </c>
      <c r="F61" s="23">
        <v>0</v>
      </c>
      <c r="G61" s="17">
        <v>0.67045454545454541</v>
      </c>
      <c r="H61" s="24">
        <v>0.64367816091954022</v>
      </c>
      <c r="I61" s="23">
        <v>0</v>
      </c>
      <c r="J61" s="59">
        <v>0.74784863195057372</v>
      </c>
      <c r="K61" s="91">
        <v>0.75811359026369174</v>
      </c>
      <c r="L61" s="23">
        <v>0</v>
      </c>
      <c r="M61" s="51">
        <v>4.4615224110073097E-3</v>
      </c>
      <c r="N61" s="60">
        <v>8.7690590271274592E-3</v>
      </c>
      <c r="O61" s="52">
        <v>9.0080262012718904E-3</v>
      </c>
      <c r="P61" s="43">
        <v>1.0624098925046699E-2</v>
      </c>
      <c r="Q61" s="52">
        <v>4.8038555567375199E-2</v>
      </c>
      <c r="R61" s="43">
        <v>5.4379573230707599E-2</v>
      </c>
      <c r="S61" s="23">
        <v>0</v>
      </c>
      <c r="T61" s="44">
        <v>4.1428422387925004E-3</v>
      </c>
      <c r="U61" s="52">
        <v>1.8238208714455001E-2</v>
      </c>
      <c r="V61" s="42">
        <v>2.7906976744186001E-2</v>
      </c>
      <c r="W61" s="60">
        <v>5.6603773584905703E-2</v>
      </c>
      <c r="X61" s="23">
        <v>1</v>
      </c>
      <c r="Y61" s="190">
        <v>3</v>
      </c>
      <c r="Z61" s="311">
        <v>1</v>
      </c>
      <c r="AA61" s="312">
        <v>1</v>
      </c>
      <c r="AB61" s="188">
        <v>23</v>
      </c>
      <c r="AC61" s="187">
        <v>4</v>
      </c>
      <c r="AD61" s="52">
        <v>0.20909090909090908</v>
      </c>
      <c r="AE61" s="408">
        <v>6.8599033816425115</v>
      </c>
      <c r="AF61" s="375">
        <v>6.5972222222222214</v>
      </c>
      <c r="AG61" s="375">
        <v>7.13768115942029</v>
      </c>
      <c r="AH61" s="375">
        <v>6.666666666666667</v>
      </c>
      <c r="AI61" s="375">
        <v>6.6304347826086953</v>
      </c>
      <c r="AJ61" s="375">
        <v>6.875</v>
      </c>
      <c r="AK61" s="375">
        <v>6.8115942028985508</v>
      </c>
      <c r="AL61" s="271">
        <v>6.25</v>
      </c>
      <c r="AM61" s="388"/>
      <c r="AN61" s="60">
        <v>0.69565217391304346</v>
      </c>
      <c r="AO61" s="23">
        <v>1</v>
      </c>
      <c r="AP61" s="52" t="s">
        <v>223</v>
      </c>
      <c r="AQ61" s="43">
        <v>0.65217391304347827</v>
      </c>
      <c r="AR61" s="23">
        <v>0</v>
      </c>
      <c r="AS61" s="24" t="s">
        <v>223</v>
      </c>
      <c r="AT61" s="43">
        <v>0.56521739130434778</v>
      </c>
      <c r="AU61" s="23">
        <v>0</v>
      </c>
      <c r="AV61" s="24" t="s">
        <v>223</v>
      </c>
      <c r="AW61" s="43">
        <v>0.65217391304347827</v>
      </c>
      <c r="AX61" s="23">
        <v>0</v>
      </c>
      <c r="AY61" s="24" t="s">
        <v>223</v>
      </c>
      <c r="AZ61" s="43">
        <v>0.65217391304347827</v>
      </c>
      <c r="BA61" s="23">
        <v>0</v>
      </c>
      <c r="BB61" s="24" t="s">
        <v>223</v>
      </c>
      <c r="BC61" s="43">
        <v>0.65217391304347827</v>
      </c>
      <c r="BD61" s="23">
        <v>0</v>
      </c>
      <c r="BE61" s="24" t="s">
        <v>223</v>
      </c>
      <c r="BF61" s="43">
        <v>0.65217391304347827</v>
      </c>
      <c r="BG61" s="23">
        <v>0</v>
      </c>
      <c r="BH61" s="91" t="s">
        <v>223</v>
      </c>
      <c r="BI61" s="44">
        <v>0.65217391304347827</v>
      </c>
      <c r="BJ61" s="23">
        <v>0</v>
      </c>
      <c r="BK61" s="145" t="s">
        <v>223</v>
      </c>
      <c r="BL61" s="471">
        <v>1</v>
      </c>
      <c r="BM61" s="523">
        <v>0</v>
      </c>
      <c r="BN61" s="285">
        <v>2</v>
      </c>
      <c r="BO61" s="190">
        <v>1</v>
      </c>
      <c r="BP61" s="25">
        <v>3</v>
      </c>
      <c r="BQ61" s="288">
        <v>9</v>
      </c>
      <c r="BR61" s="99"/>
      <c r="BS61" s="109">
        <v>7.3</v>
      </c>
      <c r="BT61" s="109" t="s">
        <v>389</v>
      </c>
      <c r="BU61" s="112">
        <v>6.2</v>
      </c>
      <c r="BV61" s="112" t="s">
        <v>389</v>
      </c>
      <c r="BW61" s="112">
        <v>6.7</v>
      </c>
      <c r="BX61" s="112" t="s">
        <v>389</v>
      </c>
      <c r="BY61" s="112">
        <v>5.9</v>
      </c>
      <c r="BZ61" s="112" t="s">
        <v>389</v>
      </c>
      <c r="CA61" s="112">
        <v>5.4</v>
      </c>
      <c r="CB61" s="112" t="s">
        <v>389</v>
      </c>
      <c r="CC61" s="112">
        <v>5.9</v>
      </c>
      <c r="CD61" s="112" t="s">
        <v>389</v>
      </c>
      <c r="CE61" s="112">
        <v>6.9</v>
      </c>
      <c r="CF61" s="112" t="s">
        <v>389</v>
      </c>
      <c r="CG61" s="112">
        <v>6.9</v>
      </c>
      <c r="CH61" s="112">
        <v>6.3</v>
      </c>
      <c r="CI61" s="488">
        <v>5.8</v>
      </c>
      <c r="CJ61" s="277">
        <v>5.0999999999999996</v>
      </c>
      <c r="CL61" s="267">
        <v>12</v>
      </c>
      <c r="CM61" s="119">
        <v>10</v>
      </c>
      <c r="CN61" s="124"/>
      <c r="CO61" s="125"/>
      <c r="CP61" s="126"/>
      <c r="CQ61" s="126"/>
    </row>
    <row r="62" spans="1:95" ht="15.75" thickBot="1" x14ac:dyDescent="0.3">
      <c r="A62" s="652"/>
      <c r="B62" s="34" t="s">
        <v>60</v>
      </c>
      <c r="C62" s="279">
        <v>19</v>
      </c>
      <c r="D62" s="248">
        <v>0.61538461538461542</v>
      </c>
      <c r="E62" s="35">
        <v>0.53846153846153844</v>
      </c>
      <c r="F62" s="314">
        <v>0</v>
      </c>
      <c r="G62" s="35">
        <v>8.3333333333333329E-2</v>
      </c>
      <c r="H62" s="35">
        <v>0.16666666666666666</v>
      </c>
      <c r="I62" s="314">
        <v>0</v>
      </c>
      <c r="J62" s="93">
        <v>0.34935897435897439</v>
      </c>
      <c r="K62" s="94">
        <v>0.35256410256410253</v>
      </c>
      <c r="L62" s="314">
        <v>0</v>
      </c>
      <c r="M62" s="53">
        <v>0</v>
      </c>
      <c r="N62" s="280">
        <v>0</v>
      </c>
      <c r="O62" s="54">
        <v>0</v>
      </c>
      <c r="P62" s="54">
        <v>0</v>
      </c>
      <c r="Q62" s="54">
        <v>2.6565346967773001E-2</v>
      </c>
      <c r="R62" s="54">
        <v>2.6180103540604301E-2</v>
      </c>
      <c r="S62" s="314">
        <v>1</v>
      </c>
      <c r="T62" s="281">
        <v>0</v>
      </c>
      <c r="U62" s="54">
        <v>0</v>
      </c>
      <c r="V62" s="53">
        <v>0</v>
      </c>
      <c r="W62" s="280">
        <v>0</v>
      </c>
      <c r="X62" s="314">
        <v>1</v>
      </c>
      <c r="Y62" s="189">
        <v>0</v>
      </c>
      <c r="Z62" s="255">
        <v>2</v>
      </c>
      <c r="AA62" s="315">
        <v>2</v>
      </c>
      <c r="AB62" s="189">
        <v>56</v>
      </c>
      <c r="AC62" s="226">
        <v>12</v>
      </c>
      <c r="AD62" s="54">
        <v>2.9473684210526314</v>
      </c>
      <c r="AE62" s="389">
        <v>6.7757936507936503</v>
      </c>
      <c r="AF62" s="377"/>
      <c r="AG62" s="377">
        <v>6.8154761904761907</v>
      </c>
      <c r="AH62" s="377">
        <v>7.3611111111111107</v>
      </c>
      <c r="AI62" s="377">
        <v>6.354166666666667</v>
      </c>
      <c r="AJ62" s="377">
        <v>6.041666666666667</v>
      </c>
      <c r="AK62" s="377">
        <v>7.1577380952380949</v>
      </c>
      <c r="AL62" s="378">
        <v>7.083333333333333</v>
      </c>
      <c r="AM62" s="389"/>
      <c r="AN62" s="280">
        <v>0.6964285714285714</v>
      </c>
      <c r="AO62" s="314">
        <v>1</v>
      </c>
      <c r="AP62" s="54">
        <v>0.75</v>
      </c>
      <c r="AQ62" s="54">
        <v>0.5714285714285714</v>
      </c>
      <c r="AR62" s="314">
        <v>0</v>
      </c>
      <c r="AS62" s="35">
        <v>0.66669999999999996</v>
      </c>
      <c r="AT62" s="54">
        <v>0.5535714285714286</v>
      </c>
      <c r="AU62" s="314">
        <v>0</v>
      </c>
      <c r="AV62" s="35">
        <v>0.75</v>
      </c>
      <c r="AW62" s="54">
        <v>0.6785714285714286</v>
      </c>
      <c r="AX62" s="314">
        <v>1</v>
      </c>
      <c r="AY62" s="35">
        <v>0.5</v>
      </c>
      <c r="AZ62" s="54">
        <v>0.6964285714285714</v>
      </c>
      <c r="BA62" s="314">
        <v>1</v>
      </c>
      <c r="BB62" s="35">
        <v>0.83330000000000004</v>
      </c>
      <c r="BC62" s="54">
        <v>0.625</v>
      </c>
      <c r="BD62" s="314">
        <v>0</v>
      </c>
      <c r="BE62" s="35">
        <v>0.75</v>
      </c>
      <c r="BF62" s="54">
        <v>0.6607142857142857</v>
      </c>
      <c r="BG62" s="314">
        <v>0</v>
      </c>
      <c r="BH62" s="94">
        <v>0.58330000000000004</v>
      </c>
      <c r="BI62" s="281">
        <v>0.5892857142857143</v>
      </c>
      <c r="BJ62" s="314">
        <v>0</v>
      </c>
      <c r="BK62" s="283">
        <v>0.58330000000000004</v>
      </c>
      <c r="BL62" s="473">
        <v>3</v>
      </c>
      <c r="BM62" s="525">
        <v>4</v>
      </c>
      <c r="BN62" s="286">
        <v>5</v>
      </c>
      <c r="BO62" s="189">
        <v>6</v>
      </c>
      <c r="BP62" s="226">
        <v>2</v>
      </c>
      <c r="BQ62" s="290">
        <v>2</v>
      </c>
      <c r="BR62" s="99"/>
      <c r="BS62" s="484"/>
      <c r="BT62" s="484" t="s">
        <v>389</v>
      </c>
      <c r="BU62" s="485"/>
      <c r="BV62" s="485" t="s">
        <v>389</v>
      </c>
      <c r="BW62" s="485"/>
      <c r="BX62" s="485" t="s">
        <v>389</v>
      </c>
      <c r="BY62" s="485"/>
      <c r="BZ62" s="485" t="s">
        <v>389</v>
      </c>
      <c r="CA62" s="485"/>
      <c r="CB62" s="485" t="s">
        <v>389</v>
      </c>
      <c r="CC62" s="485"/>
      <c r="CD62" s="485" t="s">
        <v>389</v>
      </c>
      <c r="CE62" s="485"/>
      <c r="CF62" s="485" t="s">
        <v>389</v>
      </c>
      <c r="CG62" s="485"/>
      <c r="CH62" s="485"/>
      <c r="CI62" s="491"/>
      <c r="CJ62" s="411"/>
      <c r="CL62" s="278" t="s">
        <v>223</v>
      </c>
      <c r="CM62" s="119">
        <v>0</v>
      </c>
      <c r="CN62" s="124"/>
      <c r="CO62" s="125"/>
      <c r="CP62" s="126"/>
      <c r="CQ62" s="126"/>
    </row>
    <row r="63" spans="1:95" x14ac:dyDescent="0.25">
      <c r="F63" s="437"/>
      <c r="I63" s="437"/>
      <c r="L63" s="437"/>
      <c r="S63" s="7"/>
      <c r="X63" s="7"/>
      <c r="Y63" s="7"/>
      <c r="Z63" s="7"/>
      <c r="AA63" s="7"/>
      <c r="AO63" s="7"/>
      <c r="AP63" s="7"/>
      <c r="AR63" s="7"/>
      <c r="AS63" s="7"/>
      <c r="AU63" s="7"/>
      <c r="AV63" s="7"/>
      <c r="AX63" s="7"/>
      <c r="AY63" s="7"/>
      <c r="BA63" s="7"/>
      <c r="BB63" s="7"/>
      <c r="BD63" s="7"/>
      <c r="BE63" s="7"/>
      <c r="BG63" s="7"/>
      <c r="BH63" s="7"/>
      <c r="BJ63" s="7"/>
      <c r="BK63" s="7"/>
      <c r="BM63" s="160"/>
      <c r="BS63" s="135"/>
      <c r="BT63" s="160"/>
      <c r="BU63" s="160"/>
      <c r="BV63" s="160"/>
      <c r="BW63" s="160"/>
      <c r="BX63" s="160"/>
      <c r="BY63" s="160"/>
      <c r="BZ63" s="160"/>
      <c r="CA63" s="160"/>
      <c r="CB63" s="160"/>
      <c r="CC63" s="160"/>
      <c r="CD63" s="160"/>
      <c r="CE63" s="160"/>
      <c r="CF63" s="160"/>
      <c r="CG63" s="160"/>
      <c r="CH63" s="160"/>
      <c r="CI63" s="160"/>
      <c r="CJ63" s="160"/>
    </row>
    <row r="64" spans="1:95" ht="15.75" thickBot="1" x14ac:dyDescent="0.3">
      <c r="F64" s="437"/>
      <c r="I64" s="437"/>
      <c r="L64" s="437"/>
      <c r="S64" s="7"/>
      <c r="X64" s="7"/>
      <c r="Y64" s="7"/>
      <c r="Z64" s="7"/>
      <c r="AA64" s="7"/>
      <c r="AO64" s="7"/>
      <c r="AP64" s="7"/>
      <c r="AR64" s="7"/>
      <c r="AS64" s="7"/>
      <c r="AU64" s="7"/>
      <c r="AV64" s="7"/>
      <c r="AX64" s="7"/>
      <c r="AY64" s="7"/>
      <c r="BA64" s="7"/>
      <c r="BB64" s="7"/>
      <c r="BD64" s="7"/>
      <c r="BE64" s="7"/>
      <c r="BG64" s="7"/>
      <c r="BH64" s="7"/>
      <c r="BJ64" s="7"/>
      <c r="BK64" s="7"/>
      <c r="BM64" s="160"/>
      <c r="BS64" s="135"/>
      <c r="BT64" s="160"/>
      <c r="BU64" s="160"/>
      <c r="BV64" s="160"/>
      <c r="BW64" s="160"/>
      <c r="BX64" s="160"/>
      <c r="BY64" s="160"/>
      <c r="BZ64" s="160"/>
      <c r="CA64" s="160"/>
      <c r="CB64" s="160"/>
      <c r="CC64" s="160"/>
      <c r="CD64" s="160"/>
      <c r="CE64" s="160"/>
      <c r="CF64" s="160"/>
      <c r="CG64" s="160"/>
      <c r="CH64" s="160"/>
      <c r="CI64" s="160"/>
      <c r="CJ64" s="160"/>
    </row>
    <row r="65" spans="2:95" ht="15.75" thickBot="1" x14ac:dyDescent="0.3">
      <c r="D65" s="641" t="s">
        <v>306</v>
      </c>
      <c r="E65" s="642"/>
      <c r="F65" s="642"/>
      <c r="G65" s="642"/>
      <c r="H65" s="642"/>
      <c r="I65" s="642"/>
      <c r="J65" s="642"/>
      <c r="K65" s="642"/>
      <c r="L65" s="642"/>
      <c r="M65" s="642"/>
      <c r="N65" s="642"/>
      <c r="O65" s="642"/>
      <c r="P65" s="642"/>
      <c r="Q65" s="642"/>
      <c r="R65" s="642"/>
      <c r="S65" s="642"/>
      <c r="T65" s="642"/>
      <c r="U65" s="642"/>
      <c r="V65" s="642"/>
      <c r="W65" s="642"/>
      <c r="X65" s="642"/>
      <c r="Y65" s="642"/>
      <c r="Z65" s="642"/>
      <c r="AA65" s="643"/>
      <c r="AB65" s="644" t="s">
        <v>310</v>
      </c>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5"/>
      <c r="AY65" s="645"/>
      <c r="AZ65" s="645"/>
      <c r="BA65" s="645"/>
      <c r="BB65" s="645"/>
      <c r="BC65" s="645"/>
      <c r="BD65" s="645"/>
      <c r="BE65" s="645"/>
      <c r="BF65" s="645"/>
      <c r="BG65" s="645"/>
      <c r="BH65" s="645"/>
      <c r="BI65" s="645"/>
      <c r="BJ65" s="645"/>
      <c r="BK65" s="645"/>
      <c r="BL65" s="646"/>
      <c r="BM65" s="303"/>
      <c r="BS65" s="160"/>
      <c r="BT65" s="160"/>
      <c r="BU65" s="160"/>
      <c r="BV65" s="160"/>
      <c r="BW65" s="160"/>
      <c r="BX65" s="160"/>
      <c r="BY65" s="160"/>
      <c r="BZ65" s="160"/>
      <c r="CA65" s="160"/>
      <c r="CB65" s="160"/>
      <c r="CC65" s="160"/>
      <c r="CD65" s="160"/>
      <c r="CE65" s="160"/>
      <c r="CF65" s="160"/>
      <c r="CG65" s="160"/>
      <c r="CH65" s="160"/>
      <c r="CI65" s="160"/>
      <c r="CJ65" s="160"/>
    </row>
    <row r="66" spans="2:95" ht="14.25" customHeight="1" thickBot="1" x14ac:dyDescent="0.3">
      <c r="B66" s="18"/>
      <c r="C66" s="19"/>
      <c r="D66" s="236"/>
      <c r="E66" s="237"/>
      <c r="F66" s="239"/>
      <c r="G66" s="239"/>
      <c r="H66" s="239"/>
      <c r="I66" s="239"/>
      <c r="J66" s="239"/>
      <c r="K66" s="239"/>
      <c r="L66" s="239"/>
      <c r="M66" s="647" t="s">
        <v>181</v>
      </c>
      <c r="N66" s="648"/>
      <c r="O66" s="648"/>
      <c r="P66" s="648"/>
      <c r="Q66" s="648"/>
      <c r="R66" s="648"/>
      <c r="S66" s="648"/>
      <c r="T66" s="649"/>
      <c r="U66" s="548"/>
      <c r="V66" s="635" t="s">
        <v>183</v>
      </c>
      <c r="W66" s="636"/>
      <c r="X66" s="636"/>
      <c r="Y66" s="637"/>
      <c r="Z66" s="211"/>
      <c r="AA66" s="297"/>
      <c r="AB66" s="638" t="s">
        <v>308</v>
      </c>
      <c r="AC66" s="639"/>
      <c r="AD66" s="640"/>
      <c r="AE66" s="656" t="s">
        <v>353</v>
      </c>
      <c r="AF66" s="657"/>
      <c r="AG66" s="657"/>
      <c r="AH66" s="657"/>
      <c r="AI66" s="657"/>
      <c r="AJ66" s="657"/>
      <c r="AK66" s="657"/>
      <c r="AL66" s="658"/>
      <c r="AM66" s="384" t="s">
        <v>362</v>
      </c>
      <c r="AN66" s="635" t="s">
        <v>188</v>
      </c>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7"/>
      <c r="BM66" s="100"/>
      <c r="BN66" s="90"/>
      <c r="BO66" s="635" t="s">
        <v>219</v>
      </c>
      <c r="BP66" s="636"/>
      <c r="BQ66" s="637"/>
      <c r="BR66" s="100"/>
      <c r="BS66" s="626" t="s">
        <v>428</v>
      </c>
      <c r="BT66" s="627"/>
      <c r="BU66" s="627"/>
      <c r="BV66" s="627"/>
      <c r="BW66" s="627"/>
      <c r="BX66" s="627"/>
      <c r="BY66" s="627"/>
      <c r="BZ66" s="627"/>
      <c r="CA66" s="627"/>
      <c r="CB66" s="627"/>
      <c r="CC66" s="627"/>
      <c r="CD66" s="627"/>
      <c r="CE66" s="627"/>
      <c r="CF66" s="627"/>
      <c r="CG66" s="627"/>
      <c r="CH66" s="627"/>
      <c r="CI66" s="628"/>
      <c r="CJ66" s="450"/>
    </row>
    <row r="67" spans="2:95" ht="15" hidden="1" customHeight="1" thickBot="1" x14ac:dyDescent="0.3">
      <c r="D67" s="240"/>
      <c r="E67" s="241"/>
      <c r="F67" s="97"/>
      <c r="G67" s="97"/>
      <c r="H67" s="97"/>
      <c r="I67" s="97"/>
      <c r="J67" s="97"/>
      <c r="K67" s="97"/>
      <c r="L67" s="97"/>
      <c r="M67" s="46"/>
      <c r="N67" s="47"/>
      <c r="O67" s="47"/>
      <c r="P67" s="47"/>
      <c r="Q67" s="47"/>
      <c r="R67" s="47"/>
      <c r="S67" s="304"/>
      <c r="T67" s="48"/>
      <c r="U67" s="48"/>
      <c r="V67" s="49"/>
      <c r="W67" s="49"/>
      <c r="X67" s="183"/>
      <c r="Y67" s="12"/>
      <c r="Z67" s="183"/>
      <c r="AA67" s="12"/>
      <c r="AB67" s="12"/>
      <c r="AC67" s="12"/>
      <c r="AD67" s="46"/>
      <c r="AE67" s="46"/>
      <c r="AF67" s="46"/>
      <c r="AG67" s="46"/>
      <c r="AH67" s="46"/>
      <c r="AI67" s="46"/>
      <c r="AJ67" s="46"/>
      <c r="AK67" s="46"/>
      <c r="AL67" s="49"/>
      <c r="AM67" s="49"/>
      <c r="AN67" s="38"/>
      <c r="AO67" s="305"/>
      <c r="AP67" s="305"/>
      <c r="AQ67" s="39"/>
      <c r="AR67" s="306"/>
      <c r="AS67" s="306"/>
      <c r="AT67" s="39"/>
      <c r="AU67" s="306"/>
      <c r="AV67" s="306"/>
      <c r="AW67" s="39"/>
      <c r="AX67" s="306"/>
      <c r="AY67" s="306"/>
      <c r="AZ67" s="39"/>
      <c r="BA67" s="306"/>
      <c r="BB67" s="306"/>
      <c r="BC67" s="39"/>
      <c r="BD67" s="306"/>
      <c r="BE67" s="306"/>
      <c r="BF67" s="39"/>
      <c r="BG67" s="307"/>
      <c r="BH67" s="307"/>
      <c r="BI67" s="40"/>
      <c r="BJ67" s="304"/>
      <c r="BK67" s="304"/>
      <c r="BL67" s="451"/>
      <c r="BM67" s="99"/>
      <c r="BN67" s="13"/>
      <c r="BO67" s="184"/>
      <c r="BP67" s="148"/>
      <c r="BQ67" s="287"/>
      <c r="BR67" s="97"/>
      <c r="BS67" s="103"/>
      <c r="BT67" s="99"/>
      <c r="BU67" s="99"/>
      <c r="BV67" s="99"/>
      <c r="BW67" s="99"/>
      <c r="BX67" s="99"/>
      <c r="BY67" s="99"/>
      <c r="BZ67" s="99"/>
      <c r="CA67" s="99"/>
      <c r="CB67" s="99"/>
      <c r="CC67" s="99"/>
      <c r="CD67" s="99"/>
      <c r="CE67" s="99"/>
      <c r="CF67" s="99"/>
      <c r="CG67" s="99"/>
      <c r="CH67" s="99"/>
      <c r="CI67" s="99"/>
      <c r="CJ67" s="99"/>
    </row>
    <row r="68" spans="2:95" s="147" customFormat="1" ht="69.75" customHeight="1" thickBot="1" x14ac:dyDescent="0.25">
      <c r="B68" s="253" t="s">
        <v>207</v>
      </c>
      <c r="C68" s="102" t="s">
        <v>186</v>
      </c>
      <c r="D68" s="198" t="s">
        <v>198</v>
      </c>
      <c r="E68" s="455" t="s">
        <v>447</v>
      </c>
      <c r="F68" s="196" t="s">
        <v>227</v>
      </c>
      <c r="G68" s="196" t="s">
        <v>199</v>
      </c>
      <c r="H68" s="456" t="s">
        <v>448</v>
      </c>
      <c r="I68" s="308" t="s">
        <v>228</v>
      </c>
      <c r="J68" s="197" t="s">
        <v>429</v>
      </c>
      <c r="K68" s="457" t="s">
        <v>449</v>
      </c>
      <c r="L68" s="316" t="s">
        <v>229</v>
      </c>
      <c r="M68" s="202" t="s">
        <v>177</v>
      </c>
      <c r="N68" s="458" t="s">
        <v>450</v>
      </c>
      <c r="O68" s="203" t="s">
        <v>178</v>
      </c>
      <c r="P68" s="459" t="s">
        <v>451</v>
      </c>
      <c r="Q68" s="199" t="s">
        <v>430</v>
      </c>
      <c r="R68" s="460" t="s">
        <v>452</v>
      </c>
      <c r="S68" s="317" t="s">
        <v>230</v>
      </c>
      <c r="T68" s="205" t="s">
        <v>71</v>
      </c>
      <c r="U68" s="461" t="s">
        <v>453</v>
      </c>
      <c r="V68" s="207" t="s">
        <v>431</v>
      </c>
      <c r="W68" s="462" t="s">
        <v>454</v>
      </c>
      <c r="X68" s="318" t="s">
        <v>231</v>
      </c>
      <c r="Y68" s="200" t="s">
        <v>303</v>
      </c>
      <c r="Z68" s="243" t="s">
        <v>305</v>
      </c>
      <c r="AA68" s="448" t="s">
        <v>455</v>
      </c>
      <c r="AB68" s="223" t="s">
        <v>375</v>
      </c>
      <c r="AC68" s="463" t="s">
        <v>456</v>
      </c>
      <c r="AD68" s="209" t="s">
        <v>307</v>
      </c>
      <c r="AE68" s="353" t="s">
        <v>344</v>
      </c>
      <c r="AF68" s="353" t="s">
        <v>354</v>
      </c>
      <c r="AG68" s="353" t="s">
        <v>358</v>
      </c>
      <c r="AH68" s="353" t="s">
        <v>355</v>
      </c>
      <c r="AI68" s="353" t="s">
        <v>346</v>
      </c>
      <c r="AJ68" s="353" t="s">
        <v>356</v>
      </c>
      <c r="AK68" s="354" t="s">
        <v>347</v>
      </c>
      <c r="AL68" s="354" t="s">
        <v>357</v>
      </c>
      <c r="AM68" s="385" t="s">
        <v>374</v>
      </c>
      <c r="AN68" s="152" t="s">
        <v>486</v>
      </c>
      <c r="AO68" s="212" t="s">
        <v>232</v>
      </c>
      <c r="AP68" s="464" t="s">
        <v>457</v>
      </c>
      <c r="AQ68" s="152" t="s">
        <v>487</v>
      </c>
      <c r="AR68" s="213" t="s">
        <v>233</v>
      </c>
      <c r="AS68" s="152" t="s">
        <v>488</v>
      </c>
      <c r="AT68" s="214" t="s">
        <v>432</v>
      </c>
      <c r="AU68" s="215" t="s">
        <v>234</v>
      </c>
      <c r="AV68" s="214" t="s">
        <v>489</v>
      </c>
      <c r="AW68" s="214" t="s">
        <v>433</v>
      </c>
      <c r="AX68" s="215" t="s">
        <v>235</v>
      </c>
      <c r="AY68" s="214" t="s">
        <v>490</v>
      </c>
      <c r="AZ68" s="214" t="s">
        <v>434</v>
      </c>
      <c r="BA68" s="215" t="s">
        <v>236</v>
      </c>
      <c r="BB68" s="214" t="s">
        <v>491</v>
      </c>
      <c r="BC68" s="214" t="s">
        <v>435</v>
      </c>
      <c r="BD68" s="215" t="s">
        <v>237</v>
      </c>
      <c r="BE68" s="214" t="s">
        <v>492</v>
      </c>
      <c r="BF68" s="214" t="s">
        <v>436</v>
      </c>
      <c r="BG68" s="216" t="s">
        <v>238</v>
      </c>
      <c r="BH68" s="214" t="s">
        <v>493</v>
      </c>
      <c r="BI68" s="217" t="s">
        <v>437</v>
      </c>
      <c r="BJ68" s="218" t="s">
        <v>239</v>
      </c>
      <c r="BK68" s="465" t="s">
        <v>458</v>
      </c>
      <c r="BL68" s="324" t="s">
        <v>309</v>
      </c>
      <c r="BM68" s="466" t="s">
        <v>327</v>
      </c>
      <c r="BN68" s="291" t="s">
        <v>226</v>
      </c>
      <c r="BO68" s="467" t="s">
        <v>423</v>
      </c>
      <c r="BP68" s="467" t="s">
        <v>328</v>
      </c>
      <c r="BQ68" s="467" t="s">
        <v>304</v>
      </c>
      <c r="BR68" s="101"/>
      <c r="BS68" s="105" t="s">
        <v>438</v>
      </c>
      <c r="BT68" s="105" t="s">
        <v>376</v>
      </c>
      <c r="BU68" s="106" t="s">
        <v>439</v>
      </c>
      <c r="BV68" s="106" t="s">
        <v>378</v>
      </c>
      <c r="BW68" s="106" t="s">
        <v>440</v>
      </c>
      <c r="BX68" s="106" t="s">
        <v>380</v>
      </c>
      <c r="BY68" s="106" t="s">
        <v>441</v>
      </c>
      <c r="BZ68" s="106" t="s">
        <v>386</v>
      </c>
      <c r="CA68" s="106" t="s">
        <v>442</v>
      </c>
      <c r="CB68" s="106" t="s">
        <v>388</v>
      </c>
      <c r="CC68" s="106" t="s">
        <v>443</v>
      </c>
      <c r="CD68" s="106" t="s">
        <v>387</v>
      </c>
      <c r="CE68" s="106" t="s">
        <v>444</v>
      </c>
      <c r="CF68" s="106" t="s">
        <v>390</v>
      </c>
      <c r="CG68" s="106" t="s">
        <v>445</v>
      </c>
      <c r="CH68" s="106" t="s">
        <v>391</v>
      </c>
      <c r="CI68" s="107" t="s">
        <v>446</v>
      </c>
      <c r="CJ68" s="107" t="s">
        <v>392</v>
      </c>
      <c r="CK68" s="146"/>
      <c r="CL68" s="107" t="s">
        <v>254</v>
      </c>
      <c r="CM68" s="393" t="s">
        <v>459</v>
      </c>
      <c r="CN68" s="105" t="s">
        <v>255</v>
      </c>
      <c r="CO68" s="468" t="s">
        <v>460</v>
      </c>
      <c r="CP68" s="108" t="s">
        <v>256</v>
      </c>
      <c r="CQ68" s="469" t="s">
        <v>461</v>
      </c>
    </row>
    <row r="69" spans="2:95" x14ac:dyDescent="0.25">
      <c r="B69" s="252" t="s">
        <v>6</v>
      </c>
      <c r="C69" s="235">
        <v>1461</v>
      </c>
      <c r="D69" s="244">
        <v>0.73270893371757928</v>
      </c>
      <c r="E69" s="24">
        <v>0.83915574963609896</v>
      </c>
      <c r="F69" s="23">
        <v>0</v>
      </c>
      <c r="G69" s="24">
        <v>0.89548022598870058</v>
      </c>
      <c r="H69" s="24">
        <v>0.84820683903252714</v>
      </c>
      <c r="I69" s="23">
        <v>0</v>
      </c>
      <c r="J69" s="59">
        <v>0.81409457985313993</v>
      </c>
      <c r="K69" s="91">
        <v>0.84368129433431305</v>
      </c>
      <c r="L69" s="23">
        <v>0</v>
      </c>
      <c r="M69" s="42">
        <v>1.1273519561081601E-2</v>
      </c>
      <c r="N69" s="60">
        <v>1.09139963184136E-2</v>
      </c>
      <c r="O69" s="43">
        <v>7.5220790709484399E-3</v>
      </c>
      <c r="P69" s="43">
        <v>6.3982432653472802E-3</v>
      </c>
      <c r="Q69" s="43">
        <v>5.5904801849952203E-2</v>
      </c>
      <c r="R69" s="43">
        <v>6.5050741794766595E-2</v>
      </c>
      <c r="S69" s="23">
        <v>0</v>
      </c>
      <c r="T69" s="44">
        <v>2.3228538305356698E-2</v>
      </c>
      <c r="U69" s="43">
        <v>2.4031572522473E-2</v>
      </c>
      <c r="V69" s="42">
        <v>2.9739776951672899E-2</v>
      </c>
      <c r="W69" s="60">
        <v>3.0734632683658201E-2</v>
      </c>
      <c r="X69" s="23">
        <v>1</v>
      </c>
      <c r="Y69" s="190">
        <v>40</v>
      </c>
      <c r="Z69" s="309">
        <v>1</v>
      </c>
      <c r="AA69" s="310">
        <v>1</v>
      </c>
      <c r="AB69" s="190">
        <v>219</v>
      </c>
      <c r="AC69" s="25">
        <v>34</v>
      </c>
      <c r="AD69" s="43">
        <v>0.14989733059548255</v>
      </c>
      <c r="AE69" s="139">
        <v>6.2087772704211064</v>
      </c>
      <c r="AF69" s="359">
        <v>5.2450980392156863</v>
      </c>
      <c r="AG69" s="359">
        <v>6.095890410958904</v>
      </c>
      <c r="AH69" s="359">
        <v>5.5637254901960782</v>
      </c>
      <c r="AI69" s="359">
        <v>6.114916286149163</v>
      </c>
      <c r="AJ69" s="359">
        <v>4.9019607843137258</v>
      </c>
      <c r="AK69" s="359">
        <v>6.4155251141552512</v>
      </c>
      <c r="AL69" s="367">
        <v>5.2696078431372548</v>
      </c>
      <c r="AM69" s="386">
        <v>0.98076923076923073</v>
      </c>
      <c r="AN69" s="60">
        <v>0.44292237442922372</v>
      </c>
      <c r="AO69" s="23">
        <v>0</v>
      </c>
      <c r="AP69" s="43">
        <v>0.35294117647058826</v>
      </c>
      <c r="AQ69" s="43">
        <v>0.57534246575342463</v>
      </c>
      <c r="AR69" s="23">
        <v>0</v>
      </c>
      <c r="AS69" s="24">
        <v>0.58823529411764708</v>
      </c>
      <c r="AT69" s="43">
        <v>0.40639269406392692</v>
      </c>
      <c r="AU69" s="23">
        <v>0</v>
      </c>
      <c r="AV69" s="24">
        <v>0.3235294117647059</v>
      </c>
      <c r="AW69" s="43">
        <v>0.54337899543378998</v>
      </c>
      <c r="AX69" s="23">
        <v>0</v>
      </c>
      <c r="AY69" s="24">
        <v>0.41176470588235292</v>
      </c>
      <c r="AZ69" s="43">
        <v>0.63013698630136994</v>
      </c>
      <c r="BA69" s="23">
        <v>0</v>
      </c>
      <c r="BB69" s="24">
        <v>0.47058823529411764</v>
      </c>
      <c r="BC69" s="43">
        <v>0.49315068493150682</v>
      </c>
      <c r="BD69" s="23">
        <v>0</v>
      </c>
      <c r="BE69" s="24">
        <v>0.3235294117647059</v>
      </c>
      <c r="BF69" s="43">
        <v>0.67123287671232879</v>
      </c>
      <c r="BG69" s="23">
        <v>1</v>
      </c>
      <c r="BH69" s="91">
        <v>0.5</v>
      </c>
      <c r="BI69" s="44">
        <v>0.57990867579908678</v>
      </c>
      <c r="BJ69" s="23">
        <v>0</v>
      </c>
      <c r="BK69" s="145">
        <v>0.41176470588235292</v>
      </c>
      <c r="BL69" s="452">
        <v>1</v>
      </c>
      <c r="BM69" s="526">
        <v>0</v>
      </c>
      <c r="BN69" s="285">
        <v>2</v>
      </c>
      <c r="BO69" s="190">
        <v>1</v>
      </c>
      <c r="BP69" s="25">
        <v>2</v>
      </c>
      <c r="BQ69" s="289">
        <v>4</v>
      </c>
      <c r="BR69" s="98"/>
      <c r="BS69" s="136">
        <v>6.9</v>
      </c>
      <c r="BT69" s="136" t="s">
        <v>389</v>
      </c>
      <c r="BU69" s="137">
        <v>5.7</v>
      </c>
      <c r="BV69" s="137" t="s">
        <v>389</v>
      </c>
      <c r="BW69" s="137">
        <v>6.4</v>
      </c>
      <c r="BX69" s="137" t="s">
        <v>389</v>
      </c>
      <c r="BY69" s="137">
        <v>5.7</v>
      </c>
      <c r="BZ69" s="137" t="s">
        <v>389</v>
      </c>
      <c r="CA69" s="137">
        <v>5</v>
      </c>
      <c r="CB69" s="137" t="s">
        <v>389</v>
      </c>
      <c r="CC69" s="137">
        <v>5.7</v>
      </c>
      <c r="CD69" s="137" t="s">
        <v>389</v>
      </c>
      <c r="CE69" s="137">
        <v>6.3</v>
      </c>
      <c r="CF69" s="137" t="s">
        <v>389</v>
      </c>
      <c r="CG69" s="137">
        <v>6.4</v>
      </c>
      <c r="CH69" s="137">
        <v>6.7</v>
      </c>
      <c r="CI69" s="137">
        <v>5.4</v>
      </c>
      <c r="CJ69" s="138">
        <v>6</v>
      </c>
      <c r="CL69" s="129">
        <v>89</v>
      </c>
      <c r="CM69" s="119">
        <v>60</v>
      </c>
      <c r="CN69" s="130">
        <v>8</v>
      </c>
      <c r="CO69" s="130">
        <v>8</v>
      </c>
      <c r="CP69" s="119">
        <v>2</v>
      </c>
      <c r="CQ69" s="119">
        <v>3</v>
      </c>
    </row>
    <row r="70" spans="2:95" x14ac:dyDescent="0.25">
      <c r="B70" s="71" t="s">
        <v>12</v>
      </c>
      <c r="C70" s="235">
        <v>2118</v>
      </c>
      <c r="D70" s="244">
        <v>0.56786427145708585</v>
      </c>
      <c r="E70" s="24">
        <v>0.68905341089370709</v>
      </c>
      <c r="F70" s="23">
        <v>0</v>
      </c>
      <c r="G70" s="24">
        <v>0.67123287671232879</v>
      </c>
      <c r="H70" s="24">
        <v>0.66949152542372881</v>
      </c>
      <c r="I70" s="23">
        <v>0</v>
      </c>
      <c r="J70" s="59">
        <v>0.61954857408470732</v>
      </c>
      <c r="K70" s="91">
        <v>0.67927246815871789</v>
      </c>
      <c r="L70" s="23">
        <v>0</v>
      </c>
      <c r="M70" s="42">
        <v>1.4809410562691E-2</v>
      </c>
      <c r="N70" s="60">
        <v>1.5593664704107E-2</v>
      </c>
      <c r="O70" s="43">
        <v>9.53442905143107E-3</v>
      </c>
      <c r="P70" s="43">
        <v>8.6036671258841405E-3</v>
      </c>
      <c r="Q70" s="43">
        <v>6.2780677905601101E-2</v>
      </c>
      <c r="R70" s="43">
        <v>6.8626725748921702E-2</v>
      </c>
      <c r="S70" s="23">
        <v>0</v>
      </c>
      <c r="T70" s="44">
        <v>3.4422204618270703E-2</v>
      </c>
      <c r="U70" s="52">
        <v>2.91732205409517E-2</v>
      </c>
      <c r="V70" s="42">
        <v>2.7397260273972601E-2</v>
      </c>
      <c r="W70" s="60">
        <v>2.7005559968228801E-2</v>
      </c>
      <c r="X70" s="23">
        <v>1</v>
      </c>
      <c r="Y70" s="190">
        <v>54</v>
      </c>
      <c r="Z70" s="311">
        <v>1</v>
      </c>
      <c r="AA70" s="312">
        <v>1</v>
      </c>
      <c r="AB70" s="188">
        <v>313</v>
      </c>
      <c r="AC70" s="187">
        <v>65</v>
      </c>
      <c r="AD70" s="52">
        <v>0.14778092540132201</v>
      </c>
      <c r="AE70" s="403">
        <v>7.2958821441249553</v>
      </c>
      <c r="AF70" s="359">
        <v>7.3290598290598279</v>
      </c>
      <c r="AG70" s="359">
        <v>7.3748668796592121</v>
      </c>
      <c r="AH70" s="359">
        <v>7.3974358974358978</v>
      </c>
      <c r="AI70" s="359">
        <v>7.100638977635783</v>
      </c>
      <c r="AJ70" s="359">
        <v>7.2435897435897436</v>
      </c>
      <c r="AK70" s="359">
        <v>7.4121405750798726</v>
      </c>
      <c r="AL70" s="367">
        <v>7.3461538461538458</v>
      </c>
      <c r="AM70" s="386">
        <v>1</v>
      </c>
      <c r="AN70" s="60">
        <v>0.74760383386581464</v>
      </c>
      <c r="AO70" s="23">
        <v>1</v>
      </c>
      <c r="AP70" s="52">
        <v>0.70769230769230773</v>
      </c>
      <c r="AQ70" s="43">
        <v>0.73482428115015974</v>
      </c>
      <c r="AR70" s="23">
        <v>1</v>
      </c>
      <c r="AS70" s="24">
        <v>0.76923076923076927</v>
      </c>
      <c r="AT70" s="43">
        <v>0.61980830670926512</v>
      </c>
      <c r="AU70" s="23">
        <v>0</v>
      </c>
      <c r="AV70" s="24">
        <v>0.70769230769230773</v>
      </c>
      <c r="AW70" s="43">
        <v>0.71884984025559107</v>
      </c>
      <c r="AX70" s="23">
        <v>1</v>
      </c>
      <c r="AY70" s="24">
        <v>0.69230769230769229</v>
      </c>
      <c r="AZ70" s="43">
        <v>0.76996805111821087</v>
      </c>
      <c r="BA70" s="23">
        <v>1</v>
      </c>
      <c r="BB70" s="24">
        <v>0.81538461538461537</v>
      </c>
      <c r="BC70" s="43">
        <v>0.65814696485623003</v>
      </c>
      <c r="BD70" s="23">
        <v>0</v>
      </c>
      <c r="BE70" s="24">
        <v>0.70769230769230773</v>
      </c>
      <c r="BF70" s="43">
        <v>0.74440894568690097</v>
      </c>
      <c r="BG70" s="23">
        <v>1</v>
      </c>
      <c r="BH70" s="91">
        <v>0.75384615384615383</v>
      </c>
      <c r="BI70" s="44">
        <v>0.67412140575079871</v>
      </c>
      <c r="BJ70" s="23">
        <v>1</v>
      </c>
      <c r="BK70" s="145">
        <v>0.72307692307692306</v>
      </c>
      <c r="BL70" s="453">
        <v>6</v>
      </c>
      <c r="BM70" s="289">
        <v>8</v>
      </c>
      <c r="BN70" s="285">
        <v>7</v>
      </c>
      <c r="BO70" s="190">
        <v>9</v>
      </c>
      <c r="BP70" s="25">
        <v>7</v>
      </c>
      <c r="BQ70" s="289">
        <v>8</v>
      </c>
      <c r="BR70" s="98"/>
      <c r="BS70" s="136">
        <v>7.4</v>
      </c>
      <c r="BT70" s="136" t="s">
        <v>389</v>
      </c>
      <c r="BU70" s="137">
        <v>6.3</v>
      </c>
      <c r="BV70" s="137" t="s">
        <v>389</v>
      </c>
      <c r="BW70" s="137">
        <v>6.9</v>
      </c>
      <c r="BX70" s="137" t="s">
        <v>389</v>
      </c>
      <c r="BY70" s="137">
        <v>6.5</v>
      </c>
      <c r="BZ70" s="137" t="s">
        <v>389</v>
      </c>
      <c r="CA70" s="137">
        <v>5.5</v>
      </c>
      <c r="CB70" s="137" t="s">
        <v>389</v>
      </c>
      <c r="CC70" s="137">
        <v>6.5</v>
      </c>
      <c r="CD70" s="137" t="s">
        <v>389</v>
      </c>
      <c r="CE70" s="137">
        <v>6.8</v>
      </c>
      <c r="CF70" s="137" t="s">
        <v>389</v>
      </c>
      <c r="CG70" s="137">
        <v>7</v>
      </c>
      <c r="CH70" s="137">
        <v>7.1</v>
      </c>
      <c r="CI70" s="137">
        <v>6.2</v>
      </c>
      <c r="CJ70" s="138">
        <v>6.6</v>
      </c>
      <c r="CL70" s="127">
        <v>126</v>
      </c>
      <c r="CM70" s="119">
        <v>104</v>
      </c>
      <c r="CN70" s="131">
        <v>3</v>
      </c>
      <c r="CO70" s="130">
        <v>3</v>
      </c>
      <c r="CP70" s="123">
        <v>8</v>
      </c>
      <c r="CQ70" s="119">
        <v>1</v>
      </c>
    </row>
    <row r="71" spans="2:95" x14ac:dyDescent="0.25">
      <c r="B71" s="71" t="s">
        <v>22</v>
      </c>
      <c r="C71" s="235">
        <v>2628</v>
      </c>
      <c r="D71" s="244">
        <v>0.54693877551020409</v>
      </c>
      <c r="E71" s="24">
        <v>0.68765638031693077</v>
      </c>
      <c r="F71" s="23">
        <v>0</v>
      </c>
      <c r="G71" s="24">
        <v>0.84061538461538465</v>
      </c>
      <c r="H71" s="24">
        <v>0.7751660705160961</v>
      </c>
      <c r="I71" s="23">
        <v>0</v>
      </c>
      <c r="J71" s="59">
        <v>0.69377708006279437</v>
      </c>
      <c r="K71" s="91">
        <v>0.73141122541651349</v>
      </c>
      <c r="L71" s="23">
        <v>0</v>
      </c>
      <c r="M71" s="42">
        <v>1.72657855505918E-2</v>
      </c>
      <c r="N71" s="60">
        <v>1.61412075190632E-2</v>
      </c>
      <c r="O71" s="43">
        <v>6.94087164163235E-3</v>
      </c>
      <c r="P71" s="43">
        <v>9.4766415021033702E-3</v>
      </c>
      <c r="Q71" s="43">
        <v>6.5485641508448503E-2</v>
      </c>
      <c r="R71" s="43">
        <v>8.3735247826589199E-2</v>
      </c>
      <c r="S71" s="23">
        <v>0</v>
      </c>
      <c r="T71" s="44">
        <v>2.74870947140066E-2</v>
      </c>
      <c r="U71" s="52">
        <v>3.2989626824460799E-2</v>
      </c>
      <c r="V71" s="42">
        <v>3.02423838114298E-2</v>
      </c>
      <c r="W71" s="60">
        <v>3.2417829806393503E-2</v>
      </c>
      <c r="X71" s="23">
        <v>1</v>
      </c>
      <c r="Y71" s="190">
        <v>68</v>
      </c>
      <c r="Z71" s="311">
        <v>1</v>
      </c>
      <c r="AA71" s="312">
        <v>1</v>
      </c>
      <c r="AB71" s="188">
        <v>279</v>
      </c>
      <c r="AC71" s="187">
        <v>19</v>
      </c>
      <c r="AD71" s="52">
        <v>0.10616438356164383</v>
      </c>
      <c r="AE71" s="403">
        <v>6.449621664675429</v>
      </c>
      <c r="AF71" s="359">
        <v>6.0526315789473681</v>
      </c>
      <c r="AG71" s="359">
        <v>6.0633213859020314</v>
      </c>
      <c r="AH71" s="359">
        <v>6.0526315789473681</v>
      </c>
      <c r="AI71" s="359">
        <v>6.3410991636798091</v>
      </c>
      <c r="AJ71" s="359">
        <v>5.6578947368421053</v>
      </c>
      <c r="AK71" s="359">
        <v>6.9444444444444446</v>
      </c>
      <c r="AL71" s="367">
        <v>6.4473684210526319</v>
      </c>
      <c r="AM71" s="386">
        <v>0.86124831612034125</v>
      </c>
      <c r="AN71" s="60">
        <v>0.51971326164874554</v>
      </c>
      <c r="AO71" s="23">
        <v>0</v>
      </c>
      <c r="AP71" s="52">
        <v>0.47368421052631576</v>
      </c>
      <c r="AQ71" s="43">
        <v>0.53046594982078854</v>
      </c>
      <c r="AR71" s="23">
        <v>0</v>
      </c>
      <c r="AS71" s="24">
        <v>0.52631578947368418</v>
      </c>
      <c r="AT71" s="43">
        <v>0.50179211469534046</v>
      </c>
      <c r="AU71" s="23">
        <v>0</v>
      </c>
      <c r="AV71" s="24">
        <v>0.52631578947368418</v>
      </c>
      <c r="AW71" s="43">
        <v>0.58064516129032251</v>
      </c>
      <c r="AX71" s="23">
        <v>0</v>
      </c>
      <c r="AY71" s="24">
        <v>0.47368421052631576</v>
      </c>
      <c r="AZ71" s="43">
        <v>0.63440860215053763</v>
      </c>
      <c r="BA71" s="23">
        <v>0</v>
      </c>
      <c r="BB71" s="24">
        <v>0.68421052631578949</v>
      </c>
      <c r="BC71" s="43">
        <v>0.59139784946236551</v>
      </c>
      <c r="BD71" s="23">
        <v>0</v>
      </c>
      <c r="BE71" s="24">
        <v>0.36842105263157893</v>
      </c>
      <c r="BF71" s="43">
        <v>0.65949820788530467</v>
      </c>
      <c r="BG71" s="23">
        <v>0</v>
      </c>
      <c r="BH71" s="91">
        <v>0.57894736842105265</v>
      </c>
      <c r="BI71" s="44">
        <v>0.55913978494623651</v>
      </c>
      <c r="BJ71" s="23">
        <v>0</v>
      </c>
      <c r="BK71" s="145">
        <v>0.36842105263157893</v>
      </c>
      <c r="BL71" s="453">
        <v>0</v>
      </c>
      <c r="BM71" s="289">
        <v>1</v>
      </c>
      <c r="BN71" s="285">
        <v>1</v>
      </c>
      <c r="BO71" s="190">
        <v>2</v>
      </c>
      <c r="BP71" s="25">
        <v>2</v>
      </c>
      <c r="BQ71" s="289">
        <v>1</v>
      </c>
      <c r="BR71" s="98"/>
      <c r="BS71" s="136">
        <v>6.9</v>
      </c>
      <c r="BT71" s="136" t="s">
        <v>389</v>
      </c>
      <c r="BU71" s="137">
        <v>5.5</v>
      </c>
      <c r="BV71" s="137" t="s">
        <v>389</v>
      </c>
      <c r="BW71" s="137">
        <v>6.4</v>
      </c>
      <c r="BX71" s="137" t="s">
        <v>389</v>
      </c>
      <c r="BY71" s="137">
        <v>5.2</v>
      </c>
      <c r="BZ71" s="137" t="s">
        <v>389</v>
      </c>
      <c r="CA71" s="137">
        <v>5.0999999999999996</v>
      </c>
      <c r="CB71" s="137" t="s">
        <v>389</v>
      </c>
      <c r="CC71" s="137">
        <v>5.6</v>
      </c>
      <c r="CD71" s="137" t="s">
        <v>389</v>
      </c>
      <c r="CE71" s="137">
        <v>6.3</v>
      </c>
      <c r="CF71" s="137" t="s">
        <v>389</v>
      </c>
      <c r="CG71" s="137">
        <v>6.5</v>
      </c>
      <c r="CH71" s="137">
        <v>6.9</v>
      </c>
      <c r="CI71" s="137">
        <v>5.3</v>
      </c>
      <c r="CJ71" s="138">
        <v>6</v>
      </c>
      <c r="CL71" s="127">
        <v>315</v>
      </c>
      <c r="CM71" s="119">
        <v>278</v>
      </c>
      <c r="CN71" s="302">
        <v>8</v>
      </c>
      <c r="CO71" s="130">
        <v>10</v>
      </c>
      <c r="CP71" s="123">
        <v>4</v>
      </c>
      <c r="CQ71" s="119">
        <v>1</v>
      </c>
    </row>
    <row r="72" spans="2:95" x14ac:dyDescent="0.25">
      <c r="B72" s="71" t="s">
        <v>41</v>
      </c>
      <c r="C72" s="235">
        <v>2563</v>
      </c>
      <c r="D72" s="244">
        <v>0.56587202007528226</v>
      </c>
      <c r="E72" s="24">
        <v>0.77215719063545152</v>
      </c>
      <c r="F72" s="23">
        <v>0</v>
      </c>
      <c r="G72" s="24">
        <v>0.83156581409856523</v>
      </c>
      <c r="H72" s="24">
        <v>0.80795677799607069</v>
      </c>
      <c r="I72" s="23">
        <v>0</v>
      </c>
      <c r="J72" s="59">
        <v>0.69871891708692369</v>
      </c>
      <c r="K72" s="91">
        <v>0.7900569843157611</v>
      </c>
      <c r="L72" s="23">
        <v>0</v>
      </c>
      <c r="M72" s="42">
        <v>1.0475780658316201E-2</v>
      </c>
      <c r="N72" s="60">
        <v>1.3321743245982001E-2</v>
      </c>
      <c r="O72" s="43">
        <v>6.8361539529591397E-3</v>
      </c>
      <c r="P72" s="43">
        <v>7.4311608124714903E-3</v>
      </c>
      <c r="Q72" s="43">
        <v>6.3424781734910798E-2</v>
      </c>
      <c r="R72" s="43">
        <v>7.6894105332026494E-2</v>
      </c>
      <c r="S72" s="23">
        <v>0</v>
      </c>
      <c r="T72" s="44">
        <v>2.81593989737891E-2</v>
      </c>
      <c r="U72" s="52">
        <v>2.9081523484198599E-2</v>
      </c>
      <c r="V72" s="42">
        <v>3.4415160095839697E-2</v>
      </c>
      <c r="W72" s="60">
        <v>2.71453590192644E-2</v>
      </c>
      <c r="X72" s="23">
        <v>1</v>
      </c>
      <c r="Y72" s="190">
        <v>79</v>
      </c>
      <c r="Z72" s="311">
        <v>1</v>
      </c>
      <c r="AA72" s="312">
        <v>1</v>
      </c>
      <c r="AB72" s="188">
        <v>227</v>
      </c>
      <c r="AC72" s="187">
        <v>29</v>
      </c>
      <c r="AD72" s="52">
        <v>8.8568084276238787E-2</v>
      </c>
      <c r="AE72" s="403">
        <v>6.551639745472345</v>
      </c>
      <c r="AF72" s="359">
        <v>6.0440613026819925</v>
      </c>
      <c r="AG72" s="359">
        <v>6.4831130690161531</v>
      </c>
      <c r="AH72" s="359">
        <v>5.833333333333333</v>
      </c>
      <c r="AI72" s="359">
        <v>6.2444933920704848</v>
      </c>
      <c r="AJ72" s="359">
        <v>5.6609195402298846</v>
      </c>
      <c r="AK72" s="359">
        <v>6.9273127753303969</v>
      </c>
      <c r="AL72" s="367">
        <v>6.6379310344827589</v>
      </c>
      <c r="AM72" s="386">
        <v>0.96306068601583117</v>
      </c>
      <c r="AN72" s="60">
        <v>0.57268722466960353</v>
      </c>
      <c r="AO72" s="23">
        <v>0</v>
      </c>
      <c r="AP72" s="52">
        <v>0.44827586206896552</v>
      </c>
      <c r="AQ72" s="43">
        <v>0.62114537444933915</v>
      </c>
      <c r="AR72" s="23">
        <v>0</v>
      </c>
      <c r="AS72" s="24">
        <v>0.55172413793103448</v>
      </c>
      <c r="AT72" s="43">
        <v>0.48898678414096919</v>
      </c>
      <c r="AU72" s="23">
        <v>0</v>
      </c>
      <c r="AV72" s="24">
        <v>0.37931034482758619</v>
      </c>
      <c r="AW72" s="43">
        <v>0.62114537444933915</v>
      </c>
      <c r="AX72" s="23">
        <v>0</v>
      </c>
      <c r="AY72" s="24">
        <v>0.51724137931034486</v>
      </c>
      <c r="AZ72" s="43">
        <v>0.67400881057268713</v>
      </c>
      <c r="BA72" s="23">
        <v>1</v>
      </c>
      <c r="BB72" s="24">
        <v>0.51724137931034486</v>
      </c>
      <c r="BC72" s="43">
        <v>0.59030837004405279</v>
      </c>
      <c r="BD72" s="23">
        <v>0</v>
      </c>
      <c r="BE72" s="24">
        <v>0.48275862068965514</v>
      </c>
      <c r="BF72" s="43">
        <v>0.63436123348017626</v>
      </c>
      <c r="BG72" s="23">
        <v>0</v>
      </c>
      <c r="BH72" s="91">
        <v>0.51724137931034475</v>
      </c>
      <c r="BI72" s="44">
        <v>0.57268722466960353</v>
      </c>
      <c r="BJ72" s="23">
        <v>0</v>
      </c>
      <c r="BK72" s="145">
        <v>0.48275862068965514</v>
      </c>
      <c r="BL72" s="453">
        <v>1</v>
      </c>
      <c r="BM72" s="289">
        <v>0</v>
      </c>
      <c r="BN72" s="285">
        <v>2</v>
      </c>
      <c r="BO72" s="190">
        <v>1</v>
      </c>
      <c r="BP72" s="25">
        <v>1</v>
      </c>
      <c r="BQ72" s="289">
        <v>2</v>
      </c>
      <c r="BR72" s="98"/>
      <c r="BS72" s="136">
        <v>7.1</v>
      </c>
      <c r="BT72" s="136" t="s">
        <v>389</v>
      </c>
      <c r="BU72" s="137">
        <v>5.6</v>
      </c>
      <c r="BV72" s="137" t="s">
        <v>389</v>
      </c>
      <c r="BW72" s="137">
        <v>6.5</v>
      </c>
      <c r="BX72" s="137" t="s">
        <v>389</v>
      </c>
      <c r="BY72" s="137">
        <v>5.6</v>
      </c>
      <c r="BZ72" s="137" t="s">
        <v>389</v>
      </c>
      <c r="CA72" s="137">
        <v>5.3</v>
      </c>
      <c r="CB72" s="137" t="s">
        <v>389</v>
      </c>
      <c r="CC72" s="137">
        <v>5.7</v>
      </c>
      <c r="CD72" s="137" t="s">
        <v>389</v>
      </c>
      <c r="CE72" s="137">
        <v>6.4</v>
      </c>
      <c r="CF72" s="137" t="s">
        <v>389</v>
      </c>
      <c r="CG72" s="137">
        <v>6.6</v>
      </c>
      <c r="CH72" s="137">
        <v>6.9</v>
      </c>
      <c r="CI72" s="137">
        <v>5.6</v>
      </c>
      <c r="CJ72" s="138">
        <v>6.1</v>
      </c>
      <c r="CL72" s="127">
        <v>277</v>
      </c>
      <c r="CM72" s="119">
        <v>225</v>
      </c>
      <c r="CN72" s="131">
        <v>7</v>
      </c>
      <c r="CO72" s="130">
        <v>11</v>
      </c>
      <c r="CP72" s="123">
        <v>7</v>
      </c>
      <c r="CQ72" s="119">
        <v>4</v>
      </c>
    </row>
    <row r="73" spans="2:95" ht="15.75" thickBot="1" x14ac:dyDescent="0.3">
      <c r="B73" s="254" t="s">
        <v>61</v>
      </c>
      <c r="C73" s="255">
        <v>859</v>
      </c>
      <c r="D73" s="250">
        <v>0.55374999999999996</v>
      </c>
      <c r="E73" s="230">
        <v>0.67974683544303793</v>
      </c>
      <c r="F73" s="319">
        <v>0</v>
      </c>
      <c r="G73" s="230">
        <v>0.875</v>
      </c>
      <c r="H73" s="230">
        <v>0.80769230769230771</v>
      </c>
      <c r="I73" s="319">
        <v>0</v>
      </c>
      <c r="J73" s="251">
        <v>0.71437499999999998</v>
      </c>
      <c r="K73" s="231">
        <v>0.74371957156767277</v>
      </c>
      <c r="L73" s="319">
        <v>0</v>
      </c>
      <c r="M73" s="249">
        <v>1.4846330624502101E-2</v>
      </c>
      <c r="N73" s="227">
        <v>1.7231039394551902E-2</v>
      </c>
      <c r="O73" s="229">
        <v>3.6747548011897301E-3</v>
      </c>
      <c r="P73" s="229">
        <v>4.9013929990052701E-3</v>
      </c>
      <c r="Q73" s="229">
        <v>6.0017691452892999E-2</v>
      </c>
      <c r="R73" s="229">
        <v>6.72208319056911E-2</v>
      </c>
      <c r="S73" s="319">
        <v>0</v>
      </c>
      <c r="T73" s="234">
        <v>2.8245612052262999E-2</v>
      </c>
      <c r="U73" s="54">
        <v>2.92781851879837E-2</v>
      </c>
      <c r="V73" s="249">
        <v>2.6178010471204199E-2</v>
      </c>
      <c r="W73" s="227">
        <v>3.1454783748361699E-2</v>
      </c>
      <c r="X73" s="319">
        <v>1</v>
      </c>
      <c r="Y73" s="190">
        <v>20</v>
      </c>
      <c r="Z73" s="255">
        <v>1</v>
      </c>
      <c r="AA73" s="315">
        <v>1</v>
      </c>
      <c r="AB73" s="189">
        <v>141</v>
      </c>
      <c r="AC73" s="226">
        <v>7</v>
      </c>
      <c r="AD73" s="54">
        <v>0.16414435389988358</v>
      </c>
      <c r="AE73" s="422">
        <v>6.8676122931442078</v>
      </c>
      <c r="AF73" s="360">
        <v>6.904761904761906</v>
      </c>
      <c r="AG73" s="360">
        <v>6.8853427895981083</v>
      </c>
      <c r="AH73" s="360">
        <v>6.9047619047619051</v>
      </c>
      <c r="AI73" s="360">
        <v>6.7316784869976356</v>
      </c>
      <c r="AJ73" s="360">
        <v>6.666666666666667</v>
      </c>
      <c r="AK73" s="360">
        <v>6.9858156028368796</v>
      </c>
      <c r="AL73" s="369">
        <v>7.1428571428571432</v>
      </c>
      <c r="AM73" s="492">
        <v>0.96478873239436624</v>
      </c>
      <c r="AN73" s="227">
        <v>0.62411347517730498</v>
      </c>
      <c r="AO73" s="319">
        <v>0</v>
      </c>
      <c r="AP73" s="54">
        <v>0.7142857142857143</v>
      </c>
      <c r="AQ73" s="229">
        <v>0.65957446808510634</v>
      </c>
      <c r="AR73" s="319">
        <v>0</v>
      </c>
      <c r="AS73" s="230">
        <v>0.71428571428571419</v>
      </c>
      <c r="AT73" s="229">
        <v>0.49645390070921985</v>
      </c>
      <c r="AU73" s="319">
        <v>0</v>
      </c>
      <c r="AV73" s="230">
        <v>0.2857142857142857</v>
      </c>
      <c r="AW73" s="229">
        <v>0.68085106382978722</v>
      </c>
      <c r="AX73" s="319">
        <v>1</v>
      </c>
      <c r="AY73" s="230">
        <v>0.5714285714285714</v>
      </c>
      <c r="AZ73" s="229">
        <v>0.8085106382978724</v>
      </c>
      <c r="BA73" s="319">
        <v>1</v>
      </c>
      <c r="BB73" s="230">
        <v>0.71428571428571419</v>
      </c>
      <c r="BC73" s="229">
        <v>0.68794326241134751</v>
      </c>
      <c r="BD73" s="319">
        <v>1</v>
      </c>
      <c r="BE73" s="230">
        <v>0.5714285714285714</v>
      </c>
      <c r="BF73" s="229">
        <v>0.75886524822695034</v>
      </c>
      <c r="BG73" s="319">
        <v>1</v>
      </c>
      <c r="BH73" s="231">
        <v>0.8571428571428571</v>
      </c>
      <c r="BI73" s="234">
        <v>0.65248226950354604</v>
      </c>
      <c r="BJ73" s="319">
        <v>0</v>
      </c>
      <c r="BK73" s="232">
        <v>0.7142857142857143</v>
      </c>
      <c r="BL73" s="454">
        <v>4</v>
      </c>
      <c r="BM73" s="293">
        <v>5</v>
      </c>
      <c r="BN73" s="480">
        <v>5</v>
      </c>
      <c r="BO73" s="192">
        <v>6</v>
      </c>
      <c r="BP73" s="292">
        <v>5</v>
      </c>
      <c r="BQ73" s="293">
        <v>4</v>
      </c>
      <c r="BR73" s="98"/>
      <c r="BS73" s="141">
        <v>7.2</v>
      </c>
      <c r="BT73" s="141" t="s">
        <v>389</v>
      </c>
      <c r="BU73" s="142">
        <v>5.8</v>
      </c>
      <c r="BV73" s="142" t="s">
        <v>389</v>
      </c>
      <c r="BW73" s="142">
        <v>6.6</v>
      </c>
      <c r="BX73" s="142" t="s">
        <v>389</v>
      </c>
      <c r="BY73" s="142">
        <v>5.6</v>
      </c>
      <c r="BZ73" s="142" t="s">
        <v>389</v>
      </c>
      <c r="CA73" s="142">
        <v>5.3</v>
      </c>
      <c r="CB73" s="142" t="s">
        <v>389</v>
      </c>
      <c r="CC73" s="142">
        <v>5.2</v>
      </c>
      <c r="CD73" s="142" t="s">
        <v>389</v>
      </c>
      <c r="CE73" s="142">
        <v>6.3</v>
      </c>
      <c r="CF73" s="142" t="s">
        <v>389</v>
      </c>
      <c r="CG73" s="142">
        <v>6.7</v>
      </c>
      <c r="CH73" s="142">
        <v>7.1</v>
      </c>
      <c r="CI73" s="142">
        <v>5.4</v>
      </c>
      <c r="CJ73" s="143">
        <v>6.5</v>
      </c>
      <c r="CL73" s="132">
        <v>186</v>
      </c>
      <c r="CM73" s="119">
        <v>96</v>
      </c>
      <c r="CN73" s="133">
        <v>2</v>
      </c>
      <c r="CO73" s="130">
        <v>3</v>
      </c>
      <c r="CP73" s="134">
        <v>3</v>
      </c>
      <c r="CQ73" s="119">
        <v>4</v>
      </c>
    </row>
  </sheetData>
  <autoFilter ref="CL5:CQ62" xr:uid="{00000000-0009-0000-0000-00000A000000}"/>
  <mergeCells count="24">
    <mergeCell ref="BS66:CI66"/>
    <mergeCell ref="BO3:BQ3"/>
    <mergeCell ref="A6:A19"/>
    <mergeCell ref="A20:A36"/>
    <mergeCell ref="A37:A43"/>
    <mergeCell ref="AE3:AL3"/>
    <mergeCell ref="BS3:CI3"/>
    <mergeCell ref="A44:A48"/>
    <mergeCell ref="BO66:BQ66"/>
    <mergeCell ref="A49:A57"/>
    <mergeCell ref="A58:A62"/>
    <mergeCell ref="AB65:BL65"/>
    <mergeCell ref="M66:T66"/>
    <mergeCell ref="V66:Y66"/>
    <mergeCell ref="AB66:AD66"/>
    <mergeCell ref="AN66:BL66"/>
    <mergeCell ref="AE66:AL66"/>
    <mergeCell ref="D65:AA65"/>
    <mergeCell ref="AB2:BL2"/>
    <mergeCell ref="M3:T3"/>
    <mergeCell ref="V3:Y3"/>
    <mergeCell ref="AB3:AD3"/>
    <mergeCell ref="AN3:BL3"/>
    <mergeCell ref="D2:AA2"/>
  </mergeCells>
  <conditionalFormatting sqref="BS6">
    <cfRule type="iconSet" priority="1611">
      <iconSet iconSet="3Arrows">
        <cfvo type="percent" val="0"/>
        <cfvo type="formula" val="$BT$6"/>
        <cfvo type="formula" val="$BT$6" gte="0"/>
      </iconSet>
    </cfRule>
  </conditionalFormatting>
  <conditionalFormatting sqref="BS37">
    <cfRule type="iconSet" priority="1610">
      <iconSet iconSet="3Arrows">
        <cfvo type="percent" val="0"/>
        <cfvo type="formula" val="$BT$37"/>
        <cfvo type="formula" val="$BT$37" gte="0"/>
      </iconSet>
    </cfRule>
  </conditionalFormatting>
  <conditionalFormatting sqref="BS20">
    <cfRule type="iconSet" priority="1609">
      <iconSet iconSet="3Arrows">
        <cfvo type="percent" val="0"/>
        <cfvo type="formula" val="$BT$20"/>
        <cfvo type="formula" val="$BT$20" gte="0"/>
      </iconSet>
    </cfRule>
  </conditionalFormatting>
  <conditionalFormatting sqref="BS38">
    <cfRule type="iconSet" priority="1608">
      <iconSet iconSet="3Arrows">
        <cfvo type="percent" val="0"/>
        <cfvo type="formula" val="$BT$38"/>
        <cfvo type="formula" val="$BT$38" gte="0"/>
      </iconSet>
    </cfRule>
  </conditionalFormatting>
  <conditionalFormatting sqref="BS7">
    <cfRule type="iconSet" priority="1607">
      <iconSet iconSet="3Arrows">
        <cfvo type="percent" val="0"/>
        <cfvo type="formula" val="$BT$7"/>
        <cfvo type="formula" val="$BT$7" gte="0"/>
      </iconSet>
    </cfRule>
  </conditionalFormatting>
  <conditionalFormatting sqref="BS21">
    <cfRule type="iconSet" priority="1606">
      <iconSet iconSet="3Arrows">
        <cfvo type="percent" val="0"/>
        <cfvo type="formula" val="$BT$21"/>
        <cfvo type="formula" val="$BT$21" gte="0"/>
      </iconSet>
    </cfRule>
  </conditionalFormatting>
  <conditionalFormatting sqref="BS22">
    <cfRule type="iconSet" priority="1605">
      <iconSet iconSet="3Arrows">
        <cfvo type="percent" val="0"/>
        <cfvo type="formula" val="$BT$22"/>
        <cfvo type="formula" val="$BT$22" gte="0"/>
      </iconSet>
    </cfRule>
  </conditionalFormatting>
  <conditionalFormatting sqref="BS39">
    <cfRule type="iconSet" priority="1604">
      <iconSet iconSet="3Arrows">
        <cfvo type="percent" val="0"/>
        <cfvo type="formula" val="$BT$39"/>
        <cfvo type="formula" val="$BT$39" gte="0"/>
      </iconSet>
    </cfRule>
  </conditionalFormatting>
  <conditionalFormatting sqref="BS23">
    <cfRule type="iconSet" priority="1603">
      <iconSet iconSet="3Arrows">
        <cfvo type="percent" val="0"/>
        <cfvo type="formula" val="$BT$23"/>
        <cfvo type="formula" val="$BT$23" gte="0"/>
      </iconSet>
    </cfRule>
  </conditionalFormatting>
  <conditionalFormatting sqref="BS24">
    <cfRule type="iconSet" priority="1602">
      <iconSet iconSet="3Arrows">
        <cfvo type="percent" val="0"/>
        <cfvo type="formula" val="$BT$24"/>
        <cfvo type="formula" val="$BT$24" gte="0"/>
      </iconSet>
    </cfRule>
  </conditionalFormatting>
  <conditionalFormatting sqref="BS25">
    <cfRule type="iconSet" priority="1601">
      <iconSet iconSet="3Arrows">
        <cfvo type="percent" val="0"/>
        <cfvo type="formula" val="$BT$25"/>
        <cfvo type="formula" val="$BT$25" gte="0"/>
      </iconSet>
    </cfRule>
  </conditionalFormatting>
  <conditionalFormatting sqref="BS8">
    <cfRule type="iconSet" priority="1600">
      <iconSet iconSet="3Arrows">
        <cfvo type="percent" val="0"/>
        <cfvo type="formula" val="$BT$8"/>
        <cfvo type="formula" val="$BT$8" gte="0"/>
      </iconSet>
    </cfRule>
  </conditionalFormatting>
  <conditionalFormatting sqref="BS52">
    <cfRule type="iconSet" priority="1599">
      <iconSet iconSet="3Arrows">
        <cfvo type="percent" val="0"/>
        <cfvo type="formula" val="$BT$52"/>
        <cfvo type="formula" val="$BT$52" gte="0"/>
      </iconSet>
    </cfRule>
  </conditionalFormatting>
  <conditionalFormatting sqref="BS53">
    <cfRule type="iconSet" priority="1598">
      <iconSet iconSet="3Arrows">
        <cfvo type="percent" val="0"/>
        <cfvo type="formula" val="$BT$53"/>
        <cfvo type="formula" val="$BT$53" gte="0"/>
      </iconSet>
    </cfRule>
  </conditionalFormatting>
  <conditionalFormatting sqref="BS26">
    <cfRule type="iconSet" priority="1597">
      <iconSet iconSet="3Arrows">
        <cfvo type="percent" val="0"/>
        <cfvo type="formula" val="$BT$26"/>
        <cfvo type="formula" val="$BT$26" gte="0"/>
      </iconSet>
    </cfRule>
  </conditionalFormatting>
  <conditionalFormatting sqref="BS9">
    <cfRule type="iconSet" priority="1596">
      <iconSet iconSet="3Arrows">
        <cfvo type="percent" val="0"/>
        <cfvo type="formula" val="$BT$9"/>
        <cfvo type="formula" val="$BT$9" gte="0"/>
      </iconSet>
    </cfRule>
  </conditionalFormatting>
  <conditionalFormatting sqref="BS10">
    <cfRule type="iconSet" priority="1595">
      <iconSet iconSet="3Arrows">
        <cfvo type="percent" val="0"/>
        <cfvo type="formula" val="$BT$10"/>
        <cfvo type="formula" val="$BT$10" gte="0"/>
      </iconSet>
    </cfRule>
  </conditionalFormatting>
  <conditionalFormatting sqref="BS40">
    <cfRule type="iconSet" priority="1594">
      <iconSet iconSet="3Arrows">
        <cfvo type="percent" val="0"/>
        <cfvo type="formula" val="$BT$40"/>
        <cfvo type="formula" val="$BT$40" gte="0"/>
      </iconSet>
    </cfRule>
  </conditionalFormatting>
  <conditionalFormatting sqref="BS11">
    <cfRule type="iconSet" priority="1593">
      <iconSet iconSet="3Arrows">
        <cfvo type="percent" val="0"/>
        <cfvo type="formula" val="$BT$11"/>
        <cfvo type="formula" val="$BT$11" gte="0"/>
      </iconSet>
    </cfRule>
  </conditionalFormatting>
  <conditionalFormatting sqref="BS27">
    <cfRule type="iconSet" priority="1592">
      <iconSet iconSet="3Arrows">
        <cfvo type="percent" val="0"/>
        <cfvo type="formula" val="$BT$27"/>
        <cfvo type="formula" val="$BT$27" gte="0"/>
      </iconSet>
    </cfRule>
  </conditionalFormatting>
  <conditionalFormatting sqref="BS41">
    <cfRule type="iconSet" priority="1591">
      <iconSet iconSet="3Arrows">
        <cfvo type="percent" val="0"/>
        <cfvo type="formula" val="$BT$41"/>
        <cfvo type="formula" val="$BT$41" gte="0"/>
      </iconSet>
    </cfRule>
  </conditionalFormatting>
  <conditionalFormatting sqref="BS12">
    <cfRule type="iconSet" priority="1590">
      <iconSet iconSet="3Arrows">
        <cfvo type="percent" val="0"/>
        <cfvo type="formula" val="$BT$12"/>
        <cfvo type="formula" val="$BT$12" gte="0"/>
      </iconSet>
    </cfRule>
  </conditionalFormatting>
  <conditionalFormatting sqref="BS44">
    <cfRule type="iconSet" priority="1589">
      <iconSet iconSet="3Arrows">
        <cfvo type="percent" val="0"/>
        <cfvo type="formula" val="$BT$44"/>
        <cfvo type="formula" val="$BT$44" gte="0"/>
      </iconSet>
    </cfRule>
  </conditionalFormatting>
  <conditionalFormatting sqref="BS13">
    <cfRule type="iconSet" priority="1588">
      <iconSet iconSet="3Arrows">
        <cfvo type="percent" val="0"/>
        <cfvo type="formula" val="$BT$13"/>
        <cfvo type="formula" val="$BT$13" gte="0"/>
      </iconSet>
    </cfRule>
  </conditionalFormatting>
  <conditionalFormatting sqref="BS45">
    <cfRule type="iconSet" priority="1587">
      <iconSet iconSet="3Arrows">
        <cfvo type="percent" val="0"/>
        <cfvo type="formula" val="$BT$45"/>
        <cfvo type="formula" val="$BT$45" gte="0"/>
      </iconSet>
    </cfRule>
  </conditionalFormatting>
  <conditionalFormatting sqref="BS54">
    <cfRule type="iconSet" priority="1586">
      <iconSet iconSet="3Arrows">
        <cfvo type="percent" val="0"/>
        <cfvo type="formula" val="$BT$54"/>
        <cfvo type="formula" val="$BT$54" gte="0"/>
      </iconSet>
    </cfRule>
  </conditionalFormatting>
  <conditionalFormatting sqref="BS42">
    <cfRule type="iconSet" priority="1585">
      <iconSet iconSet="3Arrows">
        <cfvo type="percent" val="0"/>
        <cfvo type="formula" val="$BT$42"/>
        <cfvo type="formula" val="$BT$42" gte="0"/>
      </iconSet>
    </cfRule>
  </conditionalFormatting>
  <conditionalFormatting sqref="BS43">
    <cfRule type="iconSet" priority="1584">
      <iconSet iconSet="3Arrows">
        <cfvo type="percent" val="0"/>
        <cfvo type="formula" val="$BT$43"/>
        <cfvo type="formula" val="$BT$43" gte="0"/>
      </iconSet>
    </cfRule>
  </conditionalFormatting>
  <conditionalFormatting sqref="BS16">
    <cfRule type="iconSet" priority="1583">
      <iconSet iconSet="3Arrows">
        <cfvo type="percent" val="0"/>
        <cfvo type="formula" val="$BT$16"/>
        <cfvo type="formula" val="$BT$16" gte="0"/>
      </iconSet>
    </cfRule>
  </conditionalFormatting>
  <conditionalFormatting sqref="BS17">
    <cfRule type="iconSet" priority="1582">
      <iconSet iconSet="3Arrows">
        <cfvo type="percent" val="0"/>
        <cfvo type="formula" val="$BT$17"/>
        <cfvo type="formula" val="$BT$17" gte="0"/>
      </iconSet>
    </cfRule>
  </conditionalFormatting>
  <conditionalFormatting sqref="BS29">
    <cfRule type="iconSet" priority="1581">
      <iconSet iconSet="3Arrows">
        <cfvo type="percent" val="0"/>
        <cfvo type="formula" val="$BT$29"/>
        <cfvo type="formula" val="$BT$29" gte="0"/>
      </iconSet>
    </cfRule>
  </conditionalFormatting>
  <conditionalFormatting sqref="BS18">
    <cfRule type="iconSet" priority="1580">
      <iconSet iconSet="3Arrows">
        <cfvo type="percent" val="0"/>
        <cfvo type="formula" val="$BT$18"/>
        <cfvo type="formula" val="$BT$18" gte="0"/>
      </iconSet>
    </cfRule>
  </conditionalFormatting>
  <conditionalFormatting sqref="BS30">
    <cfRule type="iconSet" priority="1579">
      <iconSet iconSet="3Arrows">
        <cfvo type="percent" val="0"/>
        <cfvo type="formula" val="$BT$30"/>
        <cfvo type="formula" val="$BT$30" gte="0"/>
      </iconSet>
    </cfRule>
  </conditionalFormatting>
  <conditionalFormatting sqref="BS31">
    <cfRule type="iconSet" priority="1578">
      <iconSet iconSet="3Arrows">
        <cfvo type="percent" val="0"/>
        <cfvo type="formula" val="$BT$31"/>
        <cfvo type="formula" val="$BT$31" gte="0"/>
      </iconSet>
    </cfRule>
  </conditionalFormatting>
  <conditionalFormatting sqref="BS46">
    <cfRule type="iconSet" priority="1577">
      <iconSet iconSet="3Arrows">
        <cfvo type="percent" val="0"/>
        <cfvo type="formula" val="$BT$46"/>
        <cfvo type="formula" val="$BT$46" gte="0"/>
      </iconSet>
    </cfRule>
  </conditionalFormatting>
  <conditionalFormatting sqref="BS47">
    <cfRule type="iconSet" priority="1576">
      <iconSet iconSet="3Arrows">
        <cfvo type="percent" val="0"/>
        <cfvo type="formula" val="$BT$47"/>
        <cfvo type="formula" val="$BT$47" gte="0"/>
      </iconSet>
    </cfRule>
  </conditionalFormatting>
  <conditionalFormatting sqref="BS32">
    <cfRule type="iconSet" priority="1575">
      <iconSet iconSet="3Arrows">
        <cfvo type="percent" val="0"/>
        <cfvo type="formula" val="$BT$32"/>
        <cfvo type="formula" val="$BT$32" gte="0"/>
      </iconSet>
    </cfRule>
  </conditionalFormatting>
  <conditionalFormatting sqref="BS61">
    <cfRule type="iconSet" priority="1574">
      <iconSet iconSet="3Arrows">
        <cfvo type="percent" val="0"/>
        <cfvo type="formula" val="$BT$61"/>
        <cfvo type="formula" val="$BT$61" gte="0"/>
      </iconSet>
    </cfRule>
  </conditionalFormatting>
  <conditionalFormatting sqref="BS57">
    <cfRule type="iconSet" priority="1573">
      <iconSet iconSet="3Arrows">
        <cfvo type="percent" val="0"/>
        <cfvo type="formula" val="$BT$57"/>
        <cfvo type="formula" val="$BT$57" gte="0"/>
      </iconSet>
    </cfRule>
  </conditionalFormatting>
  <conditionalFormatting sqref="BS34">
    <cfRule type="iconSet" priority="1572">
      <iconSet iconSet="3Arrows">
        <cfvo type="percent" val="0"/>
        <cfvo type="formula" val="$BT$34"/>
        <cfvo type="formula" val="$BT$34" gte="0"/>
      </iconSet>
    </cfRule>
  </conditionalFormatting>
  <conditionalFormatting sqref="BS48">
    <cfRule type="iconSet" priority="1571">
      <iconSet iconSet="3Arrows">
        <cfvo type="percent" val="0"/>
        <cfvo type="formula" val="$BT$48"/>
        <cfvo type="formula" val="$BT$48" gte="0"/>
      </iconSet>
    </cfRule>
  </conditionalFormatting>
  <conditionalFormatting sqref="BS19">
    <cfRule type="iconSet" priority="1570">
      <iconSet iconSet="3Arrows">
        <cfvo type="percent" val="0"/>
        <cfvo type="formula" val="$BT$19"/>
        <cfvo type="formula" val="$BT$19" gte="0"/>
      </iconSet>
    </cfRule>
  </conditionalFormatting>
  <conditionalFormatting sqref="BS35">
    <cfRule type="iconSet" priority="1569">
      <iconSet iconSet="3Arrows">
        <cfvo type="percent" val="0"/>
        <cfvo type="formula" val="$BT$35"/>
        <cfvo type="formula" val="$BT$35" gte="0"/>
      </iconSet>
    </cfRule>
  </conditionalFormatting>
  <conditionalFormatting sqref="BS36">
    <cfRule type="iconSet" priority="1568">
      <iconSet iconSet="3Arrows">
        <cfvo type="percent" val="0"/>
        <cfvo type="formula" val="$BT$36"/>
        <cfvo type="formula" val="$BT$36" gte="0"/>
      </iconSet>
    </cfRule>
  </conditionalFormatting>
  <conditionalFormatting sqref="BU6">
    <cfRule type="iconSet" priority="1567">
      <iconSet iconSet="3Arrows">
        <cfvo type="percent" val="0"/>
        <cfvo type="formula" val="$BV$6"/>
        <cfvo type="formula" val="$BV$6" gte="0"/>
      </iconSet>
    </cfRule>
  </conditionalFormatting>
  <conditionalFormatting sqref="BU37">
    <cfRule type="iconSet" priority="1566">
      <iconSet iconSet="3Arrows">
        <cfvo type="percent" val="0"/>
        <cfvo type="formula" val="$BV$37"/>
        <cfvo type="formula" val="$BV$37" gte="0"/>
      </iconSet>
    </cfRule>
  </conditionalFormatting>
  <conditionalFormatting sqref="BU20">
    <cfRule type="iconSet" priority="1565">
      <iconSet iconSet="3Arrows">
        <cfvo type="percent" val="0"/>
        <cfvo type="formula" val="$BV$20"/>
        <cfvo type="formula" val="$BV$20" gte="0"/>
      </iconSet>
    </cfRule>
  </conditionalFormatting>
  <conditionalFormatting sqref="BU38">
    <cfRule type="iconSet" priority="1564">
      <iconSet iconSet="3Arrows">
        <cfvo type="percent" val="0"/>
        <cfvo type="formula" val="$BV$38"/>
        <cfvo type="formula" val="$BV$38" gte="0"/>
      </iconSet>
    </cfRule>
  </conditionalFormatting>
  <conditionalFormatting sqref="BU7">
    <cfRule type="iconSet" priority="1563">
      <iconSet iconSet="3Arrows">
        <cfvo type="percent" val="0"/>
        <cfvo type="formula" val="$BV$7"/>
        <cfvo type="formula" val="$BV$7" gte="0"/>
      </iconSet>
    </cfRule>
  </conditionalFormatting>
  <conditionalFormatting sqref="BU21">
    <cfRule type="iconSet" priority="1562">
      <iconSet iconSet="3Arrows">
        <cfvo type="percent" val="0"/>
        <cfvo type="formula" val="$BV$21"/>
        <cfvo type="formula" val="$BV$21" gte="0"/>
      </iconSet>
    </cfRule>
  </conditionalFormatting>
  <conditionalFormatting sqref="BU22">
    <cfRule type="iconSet" priority="1561">
      <iconSet iconSet="3Arrows">
        <cfvo type="percent" val="0"/>
        <cfvo type="formula" val="$BV$22"/>
        <cfvo type="formula" val="$BV$22" gte="0"/>
      </iconSet>
    </cfRule>
  </conditionalFormatting>
  <conditionalFormatting sqref="BU39">
    <cfRule type="iconSet" priority="1560">
      <iconSet iconSet="3Arrows">
        <cfvo type="percent" val="0"/>
        <cfvo type="formula" val="$BV$39"/>
        <cfvo type="formula" val="$BV$39" gte="0"/>
      </iconSet>
    </cfRule>
  </conditionalFormatting>
  <conditionalFormatting sqref="BU23">
    <cfRule type="iconSet" priority="1559">
      <iconSet iconSet="3Arrows">
        <cfvo type="percent" val="0"/>
        <cfvo type="formula" val="$BV$23"/>
        <cfvo type="formula" val="$BV$23" gte="0"/>
      </iconSet>
    </cfRule>
  </conditionalFormatting>
  <conditionalFormatting sqref="BU24">
    <cfRule type="iconSet" priority="1558">
      <iconSet iconSet="3Arrows">
        <cfvo type="percent" val="0"/>
        <cfvo type="formula" val="$BV$24"/>
        <cfvo type="formula" val="$BV$24" gte="0"/>
      </iconSet>
    </cfRule>
  </conditionalFormatting>
  <conditionalFormatting sqref="BU25">
    <cfRule type="iconSet" priority="1557">
      <iconSet iconSet="3Arrows">
        <cfvo type="percent" val="0"/>
        <cfvo type="formula" val="$BV$25"/>
        <cfvo type="formula" val="$BV$25" gte="0"/>
      </iconSet>
    </cfRule>
  </conditionalFormatting>
  <conditionalFormatting sqref="BU8">
    <cfRule type="iconSet" priority="1556">
      <iconSet iconSet="3Arrows">
        <cfvo type="percent" val="0"/>
        <cfvo type="formula" val="$BV$8"/>
        <cfvo type="formula" val="$BV$8" gte="0"/>
      </iconSet>
    </cfRule>
  </conditionalFormatting>
  <conditionalFormatting sqref="BU52">
    <cfRule type="iconSet" priority="1555">
      <iconSet iconSet="3Arrows">
        <cfvo type="percent" val="0"/>
        <cfvo type="formula" val="$BV$52"/>
        <cfvo type="formula" val="$BV$52" gte="0"/>
      </iconSet>
    </cfRule>
  </conditionalFormatting>
  <conditionalFormatting sqref="BU53">
    <cfRule type="iconSet" priority="1554">
      <iconSet iconSet="3Arrows">
        <cfvo type="percent" val="0"/>
        <cfvo type="formula" val="$BV$53"/>
        <cfvo type="formula" val="$BV$53" gte="0"/>
      </iconSet>
    </cfRule>
  </conditionalFormatting>
  <conditionalFormatting sqref="BU26">
    <cfRule type="iconSet" priority="1553">
      <iconSet iconSet="3Arrows">
        <cfvo type="percent" val="0"/>
        <cfvo type="formula" val="$BV$26"/>
        <cfvo type="formula" val="$BV$26" gte="0"/>
      </iconSet>
    </cfRule>
  </conditionalFormatting>
  <conditionalFormatting sqref="BU9">
    <cfRule type="iconSet" priority="1552">
      <iconSet iconSet="3Arrows">
        <cfvo type="percent" val="0"/>
        <cfvo type="formula" val="$BV$9"/>
        <cfvo type="formula" val="$BV$9" gte="0"/>
      </iconSet>
    </cfRule>
  </conditionalFormatting>
  <conditionalFormatting sqref="BU10">
    <cfRule type="iconSet" priority="1551">
      <iconSet iconSet="3Arrows">
        <cfvo type="percent" val="0"/>
        <cfvo type="formula" val="$BV$10"/>
        <cfvo type="formula" val="$BV$10" gte="0"/>
      </iconSet>
    </cfRule>
  </conditionalFormatting>
  <conditionalFormatting sqref="BU40">
    <cfRule type="iconSet" priority="1550">
      <iconSet iconSet="3Arrows">
        <cfvo type="percent" val="0"/>
        <cfvo type="formula" val="$BV$40"/>
        <cfvo type="formula" val="$BV$40" gte="0"/>
      </iconSet>
    </cfRule>
  </conditionalFormatting>
  <conditionalFormatting sqref="BU11">
    <cfRule type="iconSet" priority="1549">
      <iconSet iconSet="3Arrows">
        <cfvo type="percent" val="0"/>
        <cfvo type="formula" val="$BV$11"/>
        <cfvo type="formula" val="$BV$11" gte="0"/>
      </iconSet>
    </cfRule>
  </conditionalFormatting>
  <conditionalFormatting sqref="BU27">
    <cfRule type="iconSet" priority="1548">
      <iconSet iconSet="3Arrows">
        <cfvo type="percent" val="0"/>
        <cfvo type="formula" val="$BV$27"/>
        <cfvo type="formula" val="$BV$27" gte="0"/>
      </iconSet>
    </cfRule>
  </conditionalFormatting>
  <conditionalFormatting sqref="BU41">
    <cfRule type="iconSet" priority="1547">
      <iconSet iconSet="3Arrows">
        <cfvo type="percent" val="0"/>
        <cfvo type="formula" val="$BV$41"/>
        <cfvo type="formula" val="$BV$41" gte="0"/>
      </iconSet>
    </cfRule>
  </conditionalFormatting>
  <conditionalFormatting sqref="BU12">
    <cfRule type="iconSet" priority="1546">
      <iconSet iconSet="3Arrows">
        <cfvo type="percent" val="0"/>
        <cfvo type="formula" val="$BV$12"/>
        <cfvo type="formula" val="$BV$12" gte="0"/>
      </iconSet>
    </cfRule>
  </conditionalFormatting>
  <conditionalFormatting sqref="BU44">
    <cfRule type="iconSet" priority="1545">
      <iconSet iconSet="3Arrows">
        <cfvo type="percent" val="0"/>
        <cfvo type="formula" val="$BV$44"/>
        <cfvo type="formula" val="$BV$44" gte="0"/>
      </iconSet>
    </cfRule>
  </conditionalFormatting>
  <conditionalFormatting sqref="BU13">
    <cfRule type="iconSet" priority="1544">
      <iconSet iconSet="3Arrows">
        <cfvo type="percent" val="0"/>
        <cfvo type="formula" val="$BV$13"/>
        <cfvo type="formula" val="$BV$13" gte="0"/>
      </iconSet>
    </cfRule>
  </conditionalFormatting>
  <conditionalFormatting sqref="BU45">
    <cfRule type="iconSet" priority="1543">
      <iconSet iconSet="3Arrows">
        <cfvo type="percent" val="0"/>
        <cfvo type="formula" val="$BV$45"/>
        <cfvo type="formula" val="$BV$45" gte="0"/>
      </iconSet>
    </cfRule>
  </conditionalFormatting>
  <conditionalFormatting sqref="BU54">
    <cfRule type="iconSet" priority="1542">
      <iconSet iconSet="3Arrows">
        <cfvo type="percent" val="0"/>
        <cfvo type="formula" val="$BV$54"/>
        <cfvo type="formula" val="$BV$54" gte="0"/>
      </iconSet>
    </cfRule>
  </conditionalFormatting>
  <conditionalFormatting sqref="BU42">
    <cfRule type="iconSet" priority="1541">
      <iconSet iconSet="3Arrows">
        <cfvo type="percent" val="0"/>
        <cfvo type="formula" val="$BV$42"/>
        <cfvo type="formula" val="$BV$42" gte="0"/>
      </iconSet>
    </cfRule>
  </conditionalFormatting>
  <conditionalFormatting sqref="BU16">
    <cfRule type="iconSet" priority="1540">
      <iconSet iconSet="3Arrows">
        <cfvo type="percent" val="0"/>
        <cfvo type="formula" val="$BV$16"/>
        <cfvo type="formula" val="$BV$16" gte="0"/>
      </iconSet>
    </cfRule>
  </conditionalFormatting>
  <conditionalFormatting sqref="BU17">
    <cfRule type="iconSet" priority="1539">
      <iconSet iconSet="3Arrows">
        <cfvo type="percent" val="0"/>
        <cfvo type="formula" val="$BV$17"/>
        <cfvo type="formula" val="$BV$17" gte="0"/>
      </iconSet>
    </cfRule>
  </conditionalFormatting>
  <conditionalFormatting sqref="BU29">
    <cfRule type="iconSet" priority="1538">
      <iconSet iconSet="3Arrows">
        <cfvo type="percent" val="0"/>
        <cfvo type="formula" val="$BV$29"/>
        <cfvo type="formula" val="$BV$29" gte="0"/>
      </iconSet>
    </cfRule>
  </conditionalFormatting>
  <conditionalFormatting sqref="BU18">
    <cfRule type="iconSet" priority="1537">
      <iconSet iconSet="3Arrows">
        <cfvo type="percent" val="0"/>
        <cfvo type="formula" val="$BV$18"/>
        <cfvo type="formula" val="$BV$18" gte="0"/>
      </iconSet>
    </cfRule>
  </conditionalFormatting>
  <conditionalFormatting sqref="BU31">
    <cfRule type="iconSet" priority="1535">
      <iconSet iconSet="3Arrows">
        <cfvo type="percent" val="0"/>
        <cfvo type="formula" val="$BV$31"/>
        <cfvo type="formula" val="$BV$31" gte="0"/>
      </iconSet>
    </cfRule>
  </conditionalFormatting>
  <conditionalFormatting sqref="BU46">
    <cfRule type="iconSet" priority="1534">
      <iconSet iconSet="3Arrows">
        <cfvo type="percent" val="0"/>
        <cfvo type="formula" val="$BV$46"/>
        <cfvo type="formula" val="$BV$46" gte="0"/>
      </iconSet>
    </cfRule>
  </conditionalFormatting>
  <conditionalFormatting sqref="BU47">
    <cfRule type="iconSet" priority="1533">
      <iconSet iconSet="3Arrows">
        <cfvo type="percent" val="0"/>
        <cfvo type="formula" val="$BV$47"/>
        <cfvo type="formula" val="$BV$47" gte="0"/>
      </iconSet>
    </cfRule>
  </conditionalFormatting>
  <conditionalFormatting sqref="BU61">
    <cfRule type="iconSet" priority="1532">
      <iconSet iconSet="3Arrows">
        <cfvo type="percent" val="0"/>
        <cfvo type="formula" val="$BV$61"/>
        <cfvo type="formula" val="$BV$61" gte="0"/>
      </iconSet>
    </cfRule>
  </conditionalFormatting>
  <conditionalFormatting sqref="BU57">
    <cfRule type="iconSet" priority="1531">
      <iconSet iconSet="3Arrows">
        <cfvo type="percent" val="0"/>
        <cfvo type="formula" val="$BV$57"/>
        <cfvo type="formula" val="$BV$57" gte="0"/>
      </iconSet>
    </cfRule>
  </conditionalFormatting>
  <conditionalFormatting sqref="BU34">
    <cfRule type="iconSet" priority="1530">
      <iconSet iconSet="3Arrows">
        <cfvo type="percent" val="0"/>
        <cfvo type="formula" val="$BV$34"/>
        <cfvo type="formula" val="$BV$34" gte="0"/>
      </iconSet>
    </cfRule>
  </conditionalFormatting>
  <conditionalFormatting sqref="BU48">
    <cfRule type="iconSet" priority="1529">
      <iconSet iconSet="3Arrows">
        <cfvo type="percent" val="0"/>
        <cfvo type="formula" val="$BV$48"/>
        <cfvo type="formula" val="$BV$48" gte="0"/>
      </iconSet>
    </cfRule>
  </conditionalFormatting>
  <conditionalFormatting sqref="BU19">
    <cfRule type="iconSet" priority="1528">
      <iconSet iconSet="3Arrows">
        <cfvo type="percent" val="0"/>
        <cfvo type="formula" val="$BV$19"/>
        <cfvo type="formula" val="$BV$19" gte="0"/>
      </iconSet>
    </cfRule>
  </conditionalFormatting>
  <conditionalFormatting sqref="BU35">
    <cfRule type="iconSet" priority="1527">
      <iconSet iconSet="3Arrows">
        <cfvo type="percent" val="0"/>
        <cfvo type="formula" val="$BV$35"/>
        <cfvo type="formula" val="$BV$35" gte="0"/>
      </iconSet>
    </cfRule>
  </conditionalFormatting>
  <conditionalFormatting sqref="BU36">
    <cfRule type="iconSet" priority="1526">
      <iconSet iconSet="3Arrows">
        <cfvo type="percent" val="0"/>
        <cfvo type="formula" val="$BV$36"/>
        <cfvo type="formula" val="$BV$36" gte="0"/>
      </iconSet>
    </cfRule>
  </conditionalFormatting>
  <conditionalFormatting sqref="BW6">
    <cfRule type="iconSet" priority="1525">
      <iconSet iconSet="3Arrows">
        <cfvo type="percent" val="0"/>
        <cfvo type="formula" val="$BX$6"/>
        <cfvo type="formula" val="$BX$6" gte="0"/>
      </iconSet>
    </cfRule>
  </conditionalFormatting>
  <conditionalFormatting sqref="BW37">
    <cfRule type="iconSet" priority="1524">
      <iconSet iconSet="3Arrows">
        <cfvo type="percent" val="0"/>
        <cfvo type="formula" val="$BX$37"/>
        <cfvo type="formula" val="$BX$37" gte="0"/>
      </iconSet>
    </cfRule>
  </conditionalFormatting>
  <conditionalFormatting sqref="BW20">
    <cfRule type="iconSet" priority="1523">
      <iconSet iconSet="3Arrows">
        <cfvo type="percent" val="0"/>
        <cfvo type="formula" val="$BX$20"/>
        <cfvo type="formula" val="$BX$20" gte="0"/>
      </iconSet>
    </cfRule>
  </conditionalFormatting>
  <conditionalFormatting sqref="BW38">
    <cfRule type="iconSet" priority="1522">
      <iconSet iconSet="3Arrows">
        <cfvo type="percent" val="0"/>
        <cfvo type="formula" val="$BX$38"/>
        <cfvo type="formula" val="$BX$38" gte="0"/>
      </iconSet>
    </cfRule>
  </conditionalFormatting>
  <conditionalFormatting sqref="BW7">
    <cfRule type="iconSet" priority="1521">
      <iconSet iconSet="3Arrows">
        <cfvo type="percent" val="0"/>
        <cfvo type="formula" val="$BX$7"/>
        <cfvo type="formula" val="$BX$7" gte="0"/>
      </iconSet>
    </cfRule>
  </conditionalFormatting>
  <conditionalFormatting sqref="BW21">
    <cfRule type="iconSet" priority="1520">
      <iconSet iconSet="3Arrows">
        <cfvo type="percent" val="0"/>
        <cfvo type="formula" val="$BX$21"/>
        <cfvo type="formula" val="$BX$21" gte="0"/>
      </iconSet>
    </cfRule>
  </conditionalFormatting>
  <conditionalFormatting sqref="BW22">
    <cfRule type="iconSet" priority="1519">
      <iconSet iconSet="3Arrows">
        <cfvo type="percent" val="0"/>
        <cfvo type="formula" val="$BX$22"/>
        <cfvo type="formula" val="$BX$22" gte="0"/>
      </iconSet>
    </cfRule>
  </conditionalFormatting>
  <conditionalFormatting sqref="BW39">
    <cfRule type="iconSet" priority="1518">
      <iconSet iconSet="3Arrows">
        <cfvo type="percent" val="0"/>
        <cfvo type="formula" val="$BX$39"/>
        <cfvo type="formula" val="$BX$39" gte="0"/>
      </iconSet>
    </cfRule>
  </conditionalFormatting>
  <conditionalFormatting sqref="BW23">
    <cfRule type="iconSet" priority="1517">
      <iconSet iconSet="3Arrows">
        <cfvo type="percent" val="0"/>
        <cfvo type="formula" val="$BX$23"/>
        <cfvo type="formula" val="$BX$23" gte="0"/>
      </iconSet>
    </cfRule>
  </conditionalFormatting>
  <conditionalFormatting sqref="BW24">
    <cfRule type="iconSet" priority="1516">
      <iconSet iconSet="3Arrows">
        <cfvo type="percent" val="0"/>
        <cfvo type="formula" val="$BX$24"/>
        <cfvo type="formula" val="$BX$24" gte="0"/>
      </iconSet>
    </cfRule>
  </conditionalFormatting>
  <conditionalFormatting sqref="BW25">
    <cfRule type="iconSet" priority="1515">
      <iconSet iconSet="3Arrows">
        <cfvo type="percent" val="0"/>
        <cfvo type="formula" val="$BX$25"/>
        <cfvo type="formula" val="$BX$25" gte="0"/>
      </iconSet>
    </cfRule>
  </conditionalFormatting>
  <conditionalFormatting sqref="BW8">
    <cfRule type="iconSet" priority="1514">
      <iconSet iconSet="3Arrows">
        <cfvo type="percent" val="0"/>
        <cfvo type="formula" val="$BX$8"/>
        <cfvo type="formula" val="$BX$8" gte="0"/>
      </iconSet>
    </cfRule>
  </conditionalFormatting>
  <conditionalFormatting sqref="BW52">
    <cfRule type="iconSet" priority="1513">
      <iconSet iconSet="3Arrows">
        <cfvo type="percent" val="0"/>
        <cfvo type="formula" val="$BX$52"/>
        <cfvo type="formula" val="$BX$52" gte="0"/>
      </iconSet>
    </cfRule>
  </conditionalFormatting>
  <conditionalFormatting sqref="BW53">
    <cfRule type="iconSet" priority="1512">
      <iconSet iconSet="3Arrows">
        <cfvo type="percent" val="0"/>
        <cfvo type="formula" val="$BX$53"/>
        <cfvo type="formula" val="$BX$53" gte="0"/>
      </iconSet>
    </cfRule>
  </conditionalFormatting>
  <conditionalFormatting sqref="BW26">
    <cfRule type="iconSet" priority="1511">
      <iconSet iconSet="3Arrows">
        <cfvo type="percent" val="0"/>
        <cfvo type="formula" val="$BX$26"/>
        <cfvo type="formula" val="$BX$26" gte="0"/>
      </iconSet>
    </cfRule>
  </conditionalFormatting>
  <conditionalFormatting sqref="BW9">
    <cfRule type="iconSet" priority="1510">
      <iconSet iconSet="3Arrows">
        <cfvo type="percent" val="0"/>
        <cfvo type="formula" val="$BX$9"/>
        <cfvo type="formula" val="$BX$9" gte="0"/>
      </iconSet>
    </cfRule>
  </conditionalFormatting>
  <conditionalFormatting sqref="BW10">
    <cfRule type="iconSet" priority="1509">
      <iconSet iconSet="3Arrows">
        <cfvo type="percent" val="0"/>
        <cfvo type="formula" val="$BX$10"/>
        <cfvo type="formula" val="$BX$10" gte="0"/>
      </iconSet>
    </cfRule>
  </conditionalFormatting>
  <conditionalFormatting sqref="BW40">
    <cfRule type="iconSet" priority="1508">
      <iconSet iconSet="3Arrows">
        <cfvo type="percent" val="0"/>
        <cfvo type="formula" val="$BX$40"/>
        <cfvo type="formula" val="$BX$40" gte="0"/>
      </iconSet>
    </cfRule>
  </conditionalFormatting>
  <conditionalFormatting sqref="BW11">
    <cfRule type="iconSet" priority="1507">
      <iconSet iconSet="3Arrows">
        <cfvo type="percent" val="0"/>
        <cfvo type="formula" val="$BX$11"/>
        <cfvo type="formula" val="$BX$11" gte="0"/>
      </iconSet>
    </cfRule>
  </conditionalFormatting>
  <conditionalFormatting sqref="BW27">
    <cfRule type="iconSet" priority="1506">
      <iconSet iconSet="3Arrows">
        <cfvo type="percent" val="0"/>
        <cfvo type="formula" val="$BX$27"/>
        <cfvo type="formula" val="$BX$27" gte="0"/>
      </iconSet>
    </cfRule>
  </conditionalFormatting>
  <conditionalFormatting sqref="BW41">
    <cfRule type="iconSet" priority="1505">
      <iconSet iconSet="3Arrows">
        <cfvo type="percent" val="0"/>
        <cfvo type="formula" val="$BX$41"/>
        <cfvo type="formula" val="$BX$41" gte="0"/>
      </iconSet>
    </cfRule>
  </conditionalFormatting>
  <conditionalFormatting sqref="BW12">
    <cfRule type="iconSet" priority="1504">
      <iconSet iconSet="3Arrows">
        <cfvo type="percent" val="0"/>
        <cfvo type="formula" val="$BX$12"/>
        <cfvo type="formula" val="$BX$12" gte="0"/>
      </iconSet>
    </cfRule>
  </conditionalFormatting>
  <conditionalFormatting sqref="BW44">
    <cfRule type="iconSet" priority="1503">
      <iconSet iconSet="3Arrows">
        <cfvo type="percent" val="0"/>
        <cfvo type="formula" val="$BX$44"/>
        <cfvo type="formula" val="$BX$44" gte="0"/>
      </iconSet>
    </cfRule>
  </conditionalFormatting>
  <conditionalFormatting sqref="BW13">
    <cfRule type="iconSet" priority="1502">
      <iconSet iconSet="3Arrows">
        <cfvo type="percent" val="0"/>
        <cfvo type="formula" val="$BX$13"/>
        <cfvo type="formula" val="$BX$13" gte="0"/>
      </iconSet>
    </cfRule>
  </conditionalFormatting>
  <conditionalFormatting sqref="BW45">
    <cfRule type="iconSet" priority="1501">
      <iconSet iconSet="3Arrows">
        <cfvo type="percent" val="0"/>
        <cfvo type="formula" val="$BX$45"/>
        <cfvo type="formula" val="$BX$45" gte="0"/>
      </iconSet>
    </cfRule>
  </conditionalFormatting>
  <conditionalFormatting sqref="BW54">
    <cfRule type="iconSet" priority="1500">
      <iconSet iconSet="3Arrows">
        <cfvo type="percent" val="0"/>
        <cfvo type="formula" val="$BX$54"/>
        <cfvo type="formula" val="$BX$54" gte="0"/>
      </iconSet>
    </cfRule>
  </conditionalFormatting>
  <conditionalFormatting sqref="BW42">
    <cfRule type="iconSet" priority="1499">
      <iconSet iconSet="3Arrows">
        <cfvo type="percent" val="0"/>
        <cfvo type="formula" val="$BX$42"/>
        <cfvo type="formula" val="$BX$42" gte="0"/>
      </iconSet>
    </cfRule>
  </conditionalFormatting>
  <conditionalFormatting sqref="BW43">
    <cfRule type="iconSet" priority="1498">
      <iconSet iconSet="3Arrows">
        <cfvo type="percent" val="0"/>
        <cfvo type="formula" val="$BX$43"/>
        <cfvo type="formula" val="$BX$43" gte="0"/>
      </iconSet>
    </cfRule>
  </conditionalFormatting>
  <conditionalFormatting sqref="BW16">
    <cfRule type="iconSet" priority="1497">
      <iconSet iconSet="3Arrows">
        <cfvo type="percent" val="0"/>
        <cfvo type="formula" val="$BX$16"/>
        <cfvo type="formula" val="$BX$16" gte="0"/>
      </iconSet>
    </cfRule>
  </conditionalFormatting>
  <conditionalFormatting sqref="BW17">
    <cfRule type="iconSet" priority="1496">
      <iconSet iconSet="3Arrows">
        <cfvo type="percent" val="0"/>
        <cfvo type="formula" val="$BX$17"/>
        <cfvo type="formula" val="$BX$17" gte="0"/>
      </iconSet>
    </cfRule>
  </conditionalFormatting>
  <conditionalFormatting sqref="BW29">
    <cfRule type="iconSet" priority="1495">
      <iconSet iconSet="3Arrows">
        <cfvo type="percent" val="0"/>
        <cfvo type="formula" val="$BX$29"/>
        <cfvo type="formula" val="$BX$29" gte="0"/>
      </iconSet>
    </cfRule>
  </conditionalFormatting>
  <conditionalFormatting sqref="BW18">
    <cfRule type="iconSet" priority="1494">
      <iconSet iconSet="3Arrows">
        <cfvo type="percent" val="0"/>
        <cfvo type="formula" val="$BX$18"/>
        <cfvo type="formula" val="$BX$18" gte="0"/>
      </iconSet>
    </cfRule>
  </conditionalFormatting>
  <conditionalFormatting sqref="BW30">
    <cfRule type="iconSet" priority="1493">
      <iconSet iconSet="3Arrows">
        <cfvo type="percent" val="0"/>
        <cfvo type="formula" val="$BX$30"/>
        <cfvo type="formula" val="$BX$30" gte="0"/>
      </iconSet>
    </cfRule>
  </conditionalFormatting>
  <conditionalFormatting sqref="BW31">
    <cfRule type="iconSet" priority="1492">
      <iconSet iconSet="3Arrows">
        <cfvo type="percent" val="0"/>
        <cfvo type="formula" val="$BX$31"/>
        <cfvo type="formula" val="$BX$31" gte="0"/>
      </iconSet>
    </cfRule>
  </conditionalFormatting>
  <conditionalFormatting sqref="BW46">
    <cfRule type="iconSet" priority="1491">
      <iconSet iconSet="3Arrows">
        <cfvo type="percent" val="0"/>
        <cfvo type="formula" val="$BX$46"/>
        <cfvo type="formula" val="$BX$46" gte="0"/>
      </iconSet>
    </cfRule>
  </conditionalFormatting>
  <conditionalFormatting sqref="BW47">
    <cfRule type="iconSet" priority="1490">
      <iconSet iconSet="3Arrows">
        <cfvo type="percent" val="0"/>
        <cfvo type="formula" val="$BX$47"/>
        <cfvo type="formula" val="$BX$47" gte="0"/>
      </iconSet>
    </cfRule>
  </conditionalFormatting>
  <conditionalFormatting sqref="BW32">
    <cfRule type="iconSet" priority="1489">
      <iconSet iconSet="3Arrows">
        <cfvo type="percent" val="0"/>
        <cfvo type="formula" val="$BX$32"/>
        <cfvo type="formula" val="$BX$32" gte="0"/>
      </iconSet>
    </cfRule>
  </conditionalFormatting>
  <conditionalFormatting sqref="BW61">
    <cfRule type="iconSet" priority="1488">
      <iconSet iconSet="3Arrows">
        <cfvo type="percent" val="0"/>
        <cfvo type="formula" val="$BX$61"/>
        <cfvo type="formula" val="$BX$61" gte="0"/>
      </iconSet>
    </cfRule>
  </conditionalFormatting>
  <conditionalFormatting sqref="BW57">
    <cfRule type="iconSet" priority="1487">
      <iconSet iconSet="3Arrows">
        <cfvo type="percent" val="0"/>
        <cfvo type="formula" val="$BX$57"/>
        <cfvo type="formula" val="$BX$57" gte="0"/>
      </iconSet>
    </cfRule>
  </conditionalFormatting>
  <conditionalFormatting sqref="BW34">
    <cfRule type="iconSet" priority="1486">
      <iconSet iconSet="3Arrows">
        <cfvo type="percent" val="0"/>
        <cfvo type="formula" val="$BX$34"/>
        <cfvo type="formula" val="$BX$34" gte="0"/>
      </iconSet>
    </cfRule>
  </conditionalFormatting>
  <conditionalFormatting sqref="BW48">
    <cfRule type="iconSet" priority="1485">
      <iconSet iconSet="3Arrows">
        <cfvo type="percent" val="0"/>
        <cfvo type="formula" val="$BX$48"/>
        <cfvo type="formula" val="$BX$48" gte="0"/>
      </iconSet>
    </cfRule>
  </conditionalFormatting>
  <conditionalFormatting sqref="BW19">
    <cfRule type="iconSet" priority="1484">
      <iconSet iconSet="3Arrows">
        <cfvo type="percent" val="0"/>
        <cfvo type="formula" val="$BX$19"/>
        <cfvo type="formula" val="$BX$19" gte="0"/>
      </iconSet>
    </cfRule>
  </conditionalFormatting>
  <conditionalFormatting sqref="BW35">
    <cfRule type="iconSet" priority="1483">
      <iconSet iconSet="3Arrows">
        <cfvo type="percent" val="0"/>
        <cfvo type="formula" val="$BX$35"/>
        <cfvo type="formula" val="$BX$35" gte="0"/>
      </iconSet>
    </cfRule>
  </conditionalFormatting>
  <conditionalFormatting sqref="BW36">
    <cfRule type="iconSet" priority="1482">
      <iconSet iconSet="3Arrows">
        <cfvo type="percent" val="0"/>
        <cfvo type="formula" val="$BX$36"/>
        <cfvo type="formula" val="$BX$36" gte="0"/>
      </iconSet>
    </cfRule>
  </conditionalFormatting>
  <conditionalFormatting sqref="BY6">
    <cfRule type="iconSet" priority="1481">
      <iconSet iconSet="3Arrows">
        <cfvo type="percent" val="0"/>
        <cfvo type="formula" val="$BZ$6"/>
        <cfvo type="formula" val="$BZ$6" gte="0"/>
      </iconSet>
    </cfRule>
  </conditionalFormatting>
  <conditionalFormatting sqref="BY37">
    <cfRule type="iconSet" priority="1480">
      <iconSet iconSet="3Arrows">
        <cfvo type="percent" val="0"/>
        <cfvo type="formula" val="$BZ$37"/>
        <cfvo type="formula" val="$BZ$37" gte="0"/>
      </iconSet>
    </cfRule>
  </conditionalFormatting>
  <conditionalFormatting sqref="BY20">
    <cfRule type="iconSet" priority="1479">
      <iconSet iconSet="3Arrows">
        <cfvo type="percent" val="0"/>
        <cfvo type="formula" val="$BZ$20"/>
        <cfvo type="formula" val="$BZ$20" gte="0"/>
      </iconSet>
    </cfRule>
  </conditionalFormatting>
  <conditionalFormatting sqref="BY38">
    <cfRule type="iconSet" priority="1478">
      <iconSet iconSet="3Arrows">
        <cfvo type="percent" val="0"/>
        <cfvo type="formula" val="$BZ$38"/>
        <cfvo type="formula" val="$BZ$38" gte="0"/>
      </iconSet>
    </cfRule>
  </conditionalFormatting>
  <conditionalFormatting sqref="BY7">
    <cfRule type="iconSet" priority="1477">
      <iconSet iconSet="3Arrows">
        <cfvo type="percent" val="0"/>
        <cfvo type="formula" val="$BZ$7"/>
        <cfvo type="formula" val="$BZ$7" gte="0"/>
      </iconSet>
    </cfRule>
  </conditionalFormatting>
  <conditionalFormatting sqref="BY21">
    <cfRule type="iconSet" priority="1476">
      <iconSet iconSet="3Arrows">
        <cfvo type="percent" val="0"/>
        <cfvo type="formula" val="$BZ$21"/>
        <cfvo type="formula" val="$BZ$21" gte="0"/>
      </iconSet>
    </cfRule>
  </conditionalFormatting>
  <conditionalFormatting sqref="BY22">
    <cfRule type="iconSet" priority="1475">
      <iconSet iconSet="3Arrows">
        <cfvo type="percent" val="0"/>
        <cfvo type="formula" val="$BZ$22"/>
        <cfvo type="formula" val="$BZ$22" gte="0"/>
      </iconSet>
    </cfRule>
  </conditionalFormatting>
  <conditionalFormatting sqref="BY39">
    <cfRule type="iconSet" priority="1474">
      <iconSet iconSet="3Arrows">
        <cfvo type="percent" val="0"/>
        <cfvo type="formula" val="$BZ$39"/>
        <cfvo type="formula" val="$BZ$39" gte="0"/>
      </iconSet>
    </cfRule>
  </conditionalFormatting>
  <conditionalFormatting sqref="BY23">
    <cfRule type="iconSet" priority="1473">
      <iconSet iconSet="3Arrows">
        <cfvo type="percent" val="0"/>
        <cfvo type="formula" val="$BZ$23"/>
        <cfvo type="formula" val="$BZ$23" gte="0"/>
      </iconSet>
    </cfRule>
  </conditionalFormatting>
  <conditionalFormatting sqref="BY24">
    <cfRule type="iconSet" priority="1472">
      <iconSet iconSet="3Arrows">
        <cfvo type="percent" val="0"/>
        <cfvo type="formula" val="$BZ$24"/>
        <cfvo type="formula" val="$BZ$24" gte="0"/>
      </iconSet>
    </cfRule>
  </conditionalFormatting>
  <conditionalFormatting sqref="BY25">
    <cfRule type="iconSet" priority="1471">
      <iconSet iconSet="3Arrows">
        <cfvo type="percent" val="0"/>
        <cfvo type="formula" val="$BZ$25"/>
        <cfvo type="formula" val="$BZ$25" gte="0"/>
      </iconSet>
    </cfRule>
  </conditionalFormatting>
  <conditionalFormatting sqref="BY8">
    <cfRule type="iconSet" priority="1470">
      <iconSet iconSet="3Arrows">
        <cfvo type="percent" val="0"/>
        <cfvo type="formula" val="$BZ$8"/>
        <cfvo type="formula" val="$BZ$8" gte="0"/>
      </iconSet>
    </cfRule>
  </conditionalFormatting>
  <conditionalFormatting sqref="BY52">
    <cfRule type="iconSet" priority="1469">
      <iconSet iconSet="3Arrows">
        <cfvo type="percent" val="0"/>
        <cfvo type="formula" val="$BZ$52"/>
        <cfvo type="formula" val="$BZ$52" gte="0"/>
      </iconSet>
    </cfRule>
  </conditionalFormatting>
  <conditionalFormatting sqref="BY53">
    <cfRule type="iconSet" priority="1468">
      <iconSet iconSet="3Arrows">
        <cfvo type="percent" val="0"/>
        <cfvo type="formula" val="$BZ$53"/>
        <cfvo type="formula" val="$BZ$53" gte="0"/>
      </iconSet>
    </cfRule>
  </conditionalFormatting>
  <conditionalFormatting sqref="BY26">
    <cfRule type="iconSet" priority="1467">
      <iconSet iconSet="3Arrows">
        <cfvo type="percent" val="0"/>
        <cfvo type="formula" val="$BZ$26"/>
        <cfvo type="formula" val="$BZ$26" gte="0"/>
      </iconSet>
    </cfRule>
  </conditionalFormatting>
  <conditionalFormatting sqref="BY9">
    <cfRule type="iconSet" priority="1466">
      <iconSet iconSet="3Arrows">
        <cfvo type="percent" val="0"/>
        <cfvo type="formula" val="$BZ$9"/>
        <cfvo type="formula" val="$BZ$9" gte="0"/>
      </iconSet>
    </cfRule>
  </conditionalFormatting>
  <conditionalFormatting sqref="BY10">
    <cfRule type="iconSet" priority="1465">
      <iconSet iconSet="3Arrows">
        <cfvo type="percent" val="0"/>
        <cfvo type="formula" val="$BZ$10"/>
        <cfvo type="formula" val="$BZ$10" gte="0"/>
      </iconSet>
    </cfRule>
  </conditionalFormatting>
  <conditionalFormatting sqref="BY40">
    <cfRule type="iconSet" priority="1464">
      <iconSet iconSet="3Arrows">
        <cfvo type="percent" val="0"/>
        <cfvo type="formula" val="$BZ$40"/>
        <cfvo type="formula" val="$BZ$40" gte="0"/>
      </iconSet>
    </cfRule>
  </conditionalFormatting>
  <conditionalFormatting sqref="BY11">
    <cfRule type="iconSet" priority="1463">
      <iconSet iconSet="3Arrows">
        <cfvo type="percent" val="0"/>
        <cfvo type="formula" val="$BZ$11"/>
        <cfvo type="formula" val="$BZ$11" gte="0"/>
      </iconSet>
    </cfRule>
  </conditionalFormatting>
  <conditionalFormatting sqref="BY27">
    <cfRule type="iconSet" priority="1462">
      <iconSet iconSet="3Arrows">
        <cfvo type="percent" val="0"/>
        <cfvo type="formula" val="$BZ$27"/>
        <cfvo type="formula" val="$BZ$27" gte="0"/>
      </iconSet>
    </cfRule>
  </conditionalFormatting>
  <conditionalFormatting sqref="BY41">
    <cfRule type="iconSet" priority="1461">
      <iconSet iconSet="3Arrows">
        <cfvo type="percent" val="0"/>
        <cfvo type="formula" val="$BZ$41"/>
        <cfvo type="formula" val="$BZ$41" gte="0"/>
      </iconSet>
    </cfRule>
  </conditionalFormatting>
  <conditionalFormatting sqref="BY12">
    <cfRule type="iconSet" priority="1460">
      <iconSet iconSet="3Arrows">
        <cfvo type="percent" val="0"/>
        <cfvo type="formula" val="$BZ$12"/>
        <cfvo type="formula" val="$BZ$12" gte="0"/>
      </iconSet>
    </cfRule>
  </conditionalFormatting>
  <conditionalFormatting sqref="BY44">
    <cfRule type="iconSet" priority="1459">
      <iconSet iconSet="3Arrows">
        <cfvo type="percent" val="0"/>
        <cfvo type="formula" val="$BZ$44"/>
        <cfvo type="formula" val="$BZ$44" gte="0"/>
      </iconSet>
    </cfRule>
  </conditionalFormatting>
  <conditionalFormatting sqref="BY13">
    <cfRule type="iconSet" priority="1458">
      <iconSet iconSet="3Arrows">
        <cfvo type="percent" val="0"/>
        <cfvo type="formula" val="$BZ$13"/>
        <cfvo type="formula" val="$BZ$13" gte="0"/>
      </iconSet>
    </cfRule>
  </conditionalFormatting>
  <conditionalFormatting sqref="BY45">
    <cfRule type="iconSet" priority="1457">
      <iconSet iconSet="3Arrows">
        <cfvo type="percent" val="0"/>
        <cfvo type="formula" val="$BZ$45"/>
        <cfvo type="formula" val="$BZ$45" gte="0"/>
      </iconSet>
    </cfRule>
  </conditionalFormatting>
  <conditionalFormatting sqref="BY54">
    <cfRule type="iconSet" priority="1456">
      <iconSet iconSet="3Arrows">
        <cfvo type="percent" val="0"/>
        <cfvo type="formula" val="$BZ$54"/>
        <cfvo type="formula" val="$BZ$54" gte="0"/>
      </iconSet>
    </cfRule>
  </conditionalFormatting>
  <conditionalFormatting sqref="BY42">
    <cfRule type="iconSet" priority="1455">
      <iconSet iconSet="3Arrows">
        <cfvo type="percent" val="0"/>
        <cfvo type="formula" val="$BZ$42"/>
        <cfvo type="formula" val="$BZ$42" gte="0"/>
      </iconSet>
    </cfRule>
  </conditionalFormatting>
  <conditionalFormatting sqref="BY43">
    <cfRule type="iconSet" priority="1454">
      <iconSet iconSet="3Arrows">
        <cfvo type="percent" val="0"/>
        <cfvo type="formula" val="$BZ$43"/>
        <cfvo type="formula" val="$BZ$43" gte="0"/>
      </iconSet>
    </cfRule>
  </conditionalFormatting>
  <conditionalFormatting sqref="BY16">
    <cfRule type="iconSet" priority="1453">
      <iconSet iconSet="3Arrows">
        <cfvo type="percent" val="0"/>
        <cfvo type="formula" val="$BZ$16"/>
        <cfvo type="formula" val="$BZ$16" gte="0"/>
      </iconSet>
    </cfRule>
  </conditionalFormatting>
  <conditionalFormatting sqref="BY17">
    <cfRule type="iconSet" priority="1452">
      <iconSet iconSet="3Arrows">
        <cfvo type="percent" val="0"/>
        <cfvo type="formula" val="$BZ$17"/>
        <cfvo type="formula" val="$BZ$17" gte="0"/>
      </iconSet>
    </cfRule>
  </conditionalFormatting>
  <conditionalFormatting sqref="BY29">
    <cfRule type="iconSet" priority="1451">
      <iconSet iconSet="3Arrows">
        <cfvo type="percent" val="0"/>
        <cfvo type="formula" val="$BZ$29"/>
        <cfvo type="formula" val="$BZ$29" gte="0"/>
      </iconSet>
    </cfRule>
  </conditionalFormatting>
  <conditionalFormatting sqref="BY18">
    <cfRule type="iconSet" priority="1450">
      <iconSet iconSet="3Arrows">
        <cfvo type="percent" val="0"/>
        <cfvo type="formula" val="$BZ$18"/>
        <cfvo type="formula" val="$BZ$18" gte="0"/>
      </iconSet>
    </cfRule>
  </conditionalFormatting>
  <conditionalFormatting sqref="BY30">
    <cfRule type="iconSet" priority="1449">
      <iconSet iconSet="3Arrows">
        <cfvo type="percent" val="0"/>
        <cfvo type="formula" val="$BZ$30"/>
        <cfvo type="formula" val="$BZ$30" gte="0"/>
      </iconSet>
    </cfRule>
  </conditionalFormatting>
  <conditionalFormatting sqref="BY31">
    <cfRule type="iconSet" priority="1448">
      <iconSet iconSet="3Arrows">
        <cfvo type="percent" val="0"/>
        <cfvo type="formula" val="$BZ$31"/>
        <cfvo type="formula" val="$BZ$31" gte="0"/>
      </iconSet>
    </cfRule>
  </conditionalFormatting>
  <conditionalFormatting sqref="BY46">
    <cfRule type="iconSet" priority="1447">
      <iconSet iconSet="3Arrows">
        <cfvo type="percent" val="0"/>
        <cfvo type="formula" val="$BZ$46"/>
        <cfvo type="formula" val="$BZ$46" gte="0"/>
      </iconSet>
    </cfRule>
  </conditionalFormatting>
  <conditionalFormatting sqref="BY47">
    <cfRule type="iconSet" priority="1446">
      <iconSet iconSet="3Arrows">
        <cfvo type="percent" val="0"/>
        <cfvo type="formula" val="$BZ$47"/>
        <cfvo type="formula" val="$BZ$47" gte="0"/>
      </iconSet>
    </cfRule>
  </conditionalFormatting>
  <conditionalFormatting sqref="BY32">
    <cfRule type="iconSet" priority="1445">
      <iconSet iconSet="3Arrows">
        <cfvo type="percent" val="0"/>
        <cfvo type="formula" val="$BZ$32"/>
        <cfvo type="formula" val="$BZ$32" gte="0"/>
      </iconSet>
    </cfRule>
  </conditionalFormatting>
  <conditionalFormatting sqref="BY61">
    <cfRule type="iconSet" priority="1444">
      <iconSet iconSet="3Arrows">
        <cfvo type="percent" val="0"/>
        <cfvo type="formula" val="$BZ$61"/>
        <cfvo type="formula" val="$BZ$61" gte="0"/>
      </iconSet>
    </cfRule>
  </conditionalFormatting>
  <conditionalFormatting sqref="BY57">
    <cfRule type="iconSet" priority="1443">
      <iconSet iconSet="3Arrows">
        <cfvo type="percent" val="0"/>
        <cfvo type="formula" val="$BZ$57"/>
        <cfvo type="formula" val="$BZ$57" gte="0"/>
      </iconSet>
    </cfRule>
  </conditionalFormatting>
  <conditionalFormatting sqref="BY34">
    <cfRule type="iconSet" priority="1442">
      <iconSet iconSet="3Arrows">
        <cfvo type="percent" val="0"/>
        <cfvo type="formula" val="$BZ$34"/>
        <cfvo type="formula" val="$BZ$34" gte="0"/>
      </iconSet>
    </cfRule>
  </conditionalFormatting>
  <conditionalFormatting sqref="BY48">
    <cfRule type="iconSet" priority="1441">
      <iconSet iconSet="3Arrows">
        <cfvo type="percent" val="0"/>
        <cfvo type="formula" val="$BZ$48"/>
        <cfvo type="formula" val="$BZ$48" gte="0"/>
      </iconSet>
    </cfRule>
  </conditionalFormatting>
  <conditionalFormatting sqref="BY19">
    <cfRule type="iconSet" priority="1440">
      <iconSet iconSet="3Arrows">
        <cfvo type="percent" val="0"/>
        <cfvo type="formula" val="$BZ$19"/>
        <cfvo type="formula" val="$BZ$19" gte="0"/>
      </iconSet>
    </cfRule>
  </conditionalFormatting>
  <conditionalFormatting sqref="BY35">
    <cfRule type="iconSet" priority="1439">
      <iconSet iconSet="3Arrows">
        <cfvo type="percent" val="0"/>
        <cfvo type="formula" val="$BZ$35"/>
        <cfvo type="formula" val="$BZ$35" gte="0"/>
      </iconSet>
    </cfRule>
  </conditionalFormatting>
  <conditionalFormatting sqref="BY36">
    <cfRule type="iconSet" priority="1438">
      <iconSet iconSet="3Arrows">
        <cfvo type="percent" val="0"/>
        <cfvo type="formula" val="$BZ$36"/>
        <cfvo type="formula" val="$BZ$36" gte="0"/>
      </iconSet>
    </cfRule>
  </conditionalFormatting>
  <conditionalFormatting sqref="CA6">
    <cfRule type="iconSet" priority="1437">
      <iconSet iconSet="3Arrows">
        <cfvo type="percent" val="0"/>
        <cfvo type="formula" val="$CB$6"/>
        <cfvo type="formula" val="$CB$6" gte="0"/>
      </iconSet>
    </cfRule>
  </conditionalFormatting>
  <conditionalFormatting sqref="CA37">
    <cfRule type="iconSet" priority="1436">
      <iconSet iconSet="3Arrows">
        <cfvo type="percent" val="0"/>
        <cfvo type="formula" val="$CB$37"/>
        <cfvo type="formula" val="$CB$37" gte="0"/>
      </iconSet>
    </cfRule>
  </conditionalFormatting>
  <conditionalFormatting sqref="CA20">
    <cfRule type="iconSet" priority="1435">
      <iconSet iconSet="3Arrows">
        <cfvo type="percent" val="0"/>
        <cfvo type="formula" val="$CB$20"/>
        <cfvo type="formula" val="$CB$20" gte="0"/>
      </iconSet>
    </cfRule>
  </conditionalFormatting>
  <conditionalFormatting sqref="CA38">
    <cfRule type="iconSet" priority="1434">
      <iconSet iconSet="3Arrows">
        <cfvo type="percent" val="0"/>
        <cfvo type="formula" val="$CB$38"/>
        <cfvo type="formula" val="$CB$38" gte="0"/>
      </iconSet>
    </cfRule>
  </conditionalFormatting>
  <conditionalFormatting sqref="CA7">
    <cfRule type="iconSet" priority="1433">
      <iconSet iconSet="3Arrows">
        <cfvo type="percent" val="0"/>
        <cfvo type="formula" val="$CB$7"/>
        <cfvo type="formula" val="$CB$7" gte="0"/>
      </iconSet>
    </cfRule>
  </conditionalFormatting>
  <conditionalFormatting sqref="CA21">
    <cfRule type="iconSet" priority="1432">
      <iconSet iconSet="3Arrows">
        <cfvo type="percent" val="0"/>
        <cfvo type="formula" val="$CB$21"/>
        <cfvo type="formula" val="$CB$21" gte="0"/>
      </iconSet>
    </cfRule>
  </conditionalFormatting>
  <conditionalFormatting sqref="CA22">
    <cfRule type="iconSet" priority="1431">
      <iconSet iconSet="3Arrows">
        <cfvo type="percent" val="0"/>
        <cfvo type="formula" val="$CB$22"/>
        <cfvo type="formula" val="$CB$22" gte="0"/>
      </iconSet>
    </cfRule>
  </conditionalFormatting>
  <conditionalFormatting sqref="CA39">
    <cfRule type="iconSet" priority="1430">
      <iconSet iconSet="3Arrows">
        <cfvo type="percent" val="0"/>
        <cfvo type="formula" val="$CB$39"/>
        <cfvo type="formula" val="$CB$39" gte="0"/>
      </iconSet>
    </cfRule>
  </conditionalFormatting>
  <conditionalFormatting sqref="CA23">
    <cfRule type="iconSet" priority="1429">
      <iconSet iconSet="3Arrows">
        <cfvo type="percent" val="0"/>
        <cfvo type="formula" val="$CB$23"/>
        <cfvo type="formula" val="$CB$23" gte="0"/>
      </iconSet>
    </cfRule>
  </conditionalFormatting>
  <conditionalFormatting sqref="CA24">
    <cfRule type="iconSet" priority="1428">
      <iconSet iconSet="3Arrows">
        <cfvo type="percent" val="0"/>
        <cfvo type="formula" val="$CB$24"/>
        <cfvo type="formula" val="$CB$24" gte="0"/>
      </iconSet>
    </cfRule>
  </conditionalFormatting>
  <conditionalFormatting sqref="CA25">
    <cfRule type="iconSet" priority="1427">
      <iconSet iconSet="3Arrows">
        <cfvo type="percent" val="0"/>
        <cfvo type="formula" val="$CB$25"/>
        <cfvo type="formula" val="$CB$25" gte="0"/>
      </iconSet>
    </cfRule>
  </conditionalFormatting>
  <conditionalFormatting sqref="CA8">
    <cfRule type="iconSet" priority="1426">
      <iconSet iconSet="3Arrows">
        <cfvo type="percent" val="0"/>
        <cfvo type="formula" val="$CB$8"/>
        <cfvo type="formula" val="$CB$8" gte="0"/>
      </iconSet>
    </cfRule>
  </conditionalFormatting>
  <conditionalFormatting sqref="CA52">
    <cfRule type="iconSet" priority="1425">
      <iconSet iconSet="3Arrows">
        <cfvo type="percent" val="0"/>
        <cfvo type="formula" val="$CB$52"/>
        <cfvo type="formula" val="$CB$52" gte="0"/>
      </iconSet>
    </cfRule>
  </conditionalFormatting>
  <conditionalFormatting sqref="CA53">
    <cfRule type="iconSet" priority="1424">
      <iconSet iconSet="3Arrows">
        <cfvo type="percent" val="0"/>
        <cfvo type="formula" val="$CB$53"/>
        <cfvo type="formula" val="$CB$53" gte="0"/>
      </iconSet>
    </cfRule>
  </conditionalFormatting>
  <conditionalFormatting sqref="CA26">
    <cfRule type="iconSet" priority="1423">
      <iconSet iconSet="3Arrows">
        <cfvo type="percent" val="0"/>
        <cfvo type="formula" val="$CB$26"/>
        <cfvo type="formula" val="$CB$26" gte="0"/>
      </iconSet>
    </cfRule>
  </conditionalFormatting>
  <conditionalFormatting sqref="CA9">
    <cfRule type="iconSet" priority="1422">
      <iconSet iconSet="3Arrows">
        <cfvo type="percent" val="0"/>
        <cfvo type="formula" val="$CB$9"/>
        <cfvo type="formula" val="$CB$9" gte="0"/>
      </iconSet>
    </cfRule>
  </conditionalFormatting>
  <conditionalFormatting sqref="CA10">
    <cfRule type="iconSet" priority="1421">
      <iconSet iconSet="3Arrows">
        <cfvo type="percent" val="0"/>
        <cfvo type="formula" val="$CB$10"/>
        <cfvo type="formula" val="$CB$10" gte="0"/>
      </iconSet>
    </cfRule>
  </conditionalFormatting>
  <conditionalFormatting sqref="CA40">
    <cfRule type="iconSet" priority="1420">
      <iconSet iconSet="3Arrows">
        <cfvo type="percent" val="0"/>
        <cfvo type="formula" val="$CB$40"/>
        <cfvo type="formula" val="$CB$40" gte="0"/>
      </iconSet>
    </cfRule>
  </conditionalFormatting>
  <conditionalFormatting sqref="CA11">
    <cfRule type="iconSet" priority="1419">
      <iconSet iconSet="3Arrows">
        <cfvo type="percent" val="0"/>
        <cfvo type="formula" val="$CB$11"/>
        <cfvo type="formula" val="$CB$11" gte="0"/>
      </iconSet>
    </cfRule>
  </conditionalFormatting>
  <conditionalFormatting sqref="CA27">
    <cfRule type="iconSet" priority="1418">
      <iconSet iconSet="3Arrows">
        <cfvo type="percent" val="0"/>
        <cfvo type="formula" val="$CB$27"/>
        <cfvo type="formula" val="$CB$27" gte="0"/>
      </iconSet>
    </cfRule>
  </conditionalFormatting>
  <conditionalFormatting sqref="CA41">
    <cfRule type="iconSet" priority="1417">
      <iconSet iconSet="3Arrows">
        <cfvo type="percent" val="0"/>
        <cfvo type="formula" val="$CB$41"/>
        <cfvo type="formula" val="$CB$41" gte="0"/>
      </iconSet>
    </cfRule>
  </conditionalFormatting>
  <conditionalFormatting sqref="CA12">
    <cfRule type="iconSet" priority="1416">
      <iconSet iconSet="3Arrows">
        <cfvo type="percent" val="0"/>
        <cfvo type="formula" val="$CB$12"/>
        <cfvo type="formula" val="$CB$12" gte="0"/>
      </iconSet>
    </cfRule>
  </conditionalFormatting>
  <conditionalFormatting sqref="CA44">
    <cfRule type="iconSet" priority="1415">
      <iconSet iconSet="3Arrows">
        <cfvo type="percent" val="0"/>
        <cfvo type="formula" val="$CB$44"/>
        <cfvo type="formula" val="$CB$44" gte="0"/>
      </iconSet>
    </cfRule>
  </conditionalFormatting>
  <conditionalFormatting sqref="CA13">
    <cfRule type="iconSet" priority="1414">
      <iconSet iconSet="3Arrows">
        <cfvo type="percent" val="0"/>
        <cfvo type="formula" val="$CB$13"/>
        <cfvo type="formula" val="$CB$13" gte="0"/>
      </iconSet>
    </cfRule>
  </conditionalFormatting>
  <conditionalFormatting sqref="CA45">
    <cfRule type="iconSet" priority="1413">
      <iconSet iconSet="3Arrows">
        <cfvo type="percent" val="0"/>
        <cfvo type="formula" val="$CB$45"/>
        <cfvo type="formula" val="$CB$45" gte="0"/>
      </iconSet>
    </cfRule>
  </conditionalFormatting>
  <conditionalFormatting sqref="CA54">
    <cfRule type="iconSet" priority="1412">
      <iconSet iconSet="3Arrows">
        <cfvo type="percent" val="0"/>
        <cfvo type="formula" val="$CB$54"/>
        <cfvo type="formula" val="$CB$54" gte="0"/>
      </iconSet>
    </cfRule>
  </conditionalFormatting>
  <conditionalFormatting sqref="CA42">
    <cfRule type="iconSet" priority="1411">
      <iconSet iconSet="3Arrows">
        <cfvo type="percent" val="0"/>
        <cfvo type="formula" val="$CB$42"/>
        <cfvo type="formula" val="$CB$42" gte="0"/>
      </iconSet>
    </cfRule>
  </conditionalFormatting>
  <conditionalFormatting sqref="CA43">
    <cfRule type="iconSet" priority="1410">
      <iconSet iconSet="3Arrows">
        <cfvo type="percent" val="0"/>
        <cfvo type="formula" val="$CB$43"/>
        <cfvo type="formula" val="$CB$43" gte="0"/>
      </iconSet>
    </cfRule>
  </conditionalFormatting>
  <conditionalFormatting sqref="CA16">
    <cfRule type="iconSet" priority="1409">
      <iconSet iconSet="3Arrows">
        <cfvo type="percent" val="0"/>
        <cfvo type="formula" val="$CB$16"/>
        <cfvo type="formula" val="$CB$16" gte="0"/>
      </iconSet>
    </cfRule>
  </conditionalFormatting>
  <conditionalFormatting sqref="CA17">
    <cfRule type="iconSet" priority="1408">
      <iconSet iconSet="3Arrows">
        <cfvo type="percent" val="0"/>
        <cfvo type="formula" val="$CB$17"/>
        <cfvo type="formula" val="$CB$17" gte="0"/>
      </iconSet>
    </cfRule>
  </conditionalFormatting>
  <conditionalFormatting sqref="CA29">
    <cfRule type="iconSet" priority="1407">
      <iconSet iconSet="3Arrows">
        <cfvo type="percent" val="0"/>
        <cfvo type="formula" val="$CB$29"/>
        <cfvo type="formula" val="$CB$29" gte="0"/>
      </iconSet>
    </cfRule>
  </conditionalFormatting>
  <conditionalFormatting sqref="CA18">
    <cfRule type="iconSet" priority="1406">
      <iconSet iconSet="3Arrows">
        <cfvo type="percent" val="0"/>
        <cfvo type="formula" val="$CB$18"/>
        <cfvo type="formula" val="$CB$18" gte="0"/>
      </iconSet>
    </cfRule>
  </conditionalFormatting>
  <conditionalFormatting sqref="CA30">
    <cfRule type="iconSet" priority="1405">
      <iconSet iconSet="3Arrows">
        <cfvo type="percent" val="0"/>
        <cfvo type="formula" val="$CB$30"/>
        <cfvo type="formula" val="$CB$30" gte="0"/>
      </iconSet>
    </cfRule>
  </conditionalFormatting>
  <conditionalFormatting sqref="CA31">
    <cfRule type="iconSet" priority="1404">
      <iconSet iconSet="3Arrows">
        <cfvo type="percent" val="0"/>
        <cfvo type="formula" val="$CB$31"/>
        <cfvo type="formula" val="$CB$31" gte="0"/>
      </iconSet>
    </cfRule>
  </conditionalFormatting>
  <conditionalFormatting sqref="CA46">
    <cfRule type="iconSet" priority="1403">
      <iconSet iconSet="3Arrows">
        <cfvo type="percent" val="0"/>
        <cfvo type="formula" val="$CB$46"/>
        <cfvo type="formula" val="$CB$46" gte="0"/>
      </iconSet>
    </cfRule>
  </conditionalFormatting>
  <conditionalFormatting sqref="CA47">
    <cfRule type="iconSet" priority="1402">
      <iconSet iconSet="3Arrows">
        <cfvo type="percent" val="0"/>
        <cfvo type="formula" val="$CB$47"/>
        <cfvo type="formula" val="$CB$47" gte="0"/>
      </iconSet>
    </cfRule>
  </conditionalFormatting>
  <conditionalFormatting sqref="CA32">
    <cfRule type="iconSet" priority="1401">
      <iconSet iconSet="3Arrows">
        <cfvo type="percent" val="0"/>
        <cfvo type="formula" val="$CB$32"/>
        <cfvo type="formula" val="$CB$32" gte="0"/>
      </iconSet>
    </cfRule>
  </conditionalFormatting>
  <conditionalFormatting sqref="CA61">
    <cfRule type="iconSet" priority="1400">
      <iconSet iconSet="3Arrows">
        <cfvo type="percent" val="0"/>
        <cfvo type="formula" val="$CB$61"/>
        <cfvo type="formula" val="$CB$61" gte="0"/>
      </iconSet>
    </cfRule>
  </conditionalFormatting>
  <conditionalFormatting sqref="CA57">
    <cfRule type="iconSet" priority="1399">
      <iconSet iconSet="3Arrows">
        <cfvo type="percent" val="0"/>
        <cfvo type="formula" val="$CB$57"/>
        <cfvo type="formula" val="$CB$57" gte="0"/>
      </iconSet>
    </cfRule>
  </conditionalFormatting>
  <conditionalFormatting sqref="CA34">
    <cfRule type="iconSet" priority="1398">
      <iconSet iconSet="3Arrows">
        <cfvo type="percent" val="0"/>
        <cfvo type="formula" val="$CB$34"/>
        <cfvo type="formula" val="$CB$34" gte="0"/>
      </iconSet>
    </cfRule>
  </conditionalFormatting>
  <conditionalFormatting sqref="CA48">
    <cfRule type="iconSet" priority="1397">
      <iconSet iconSet="3Arrows">
        <cfvo type="percent" val="0"/>
        <cfvo type="formula" val="$CB$48"/>
        <cfvo type="formula" val="$CB$48" gte="0"/>
      </iconSet>
    </cfRule>
  </conditionalFormatting>
  <conditionalFormatting sqref="CA19">
    <cfRule type="iconSet" priority="1396">
      <iconSet iconSet="3Arrows">
        <cfvo type="percent" val="0"/>
        <cfvo type="formula" val="$CB$19"/>
        <cfvo type="formula" val="$CB$19" gte="0"/>
      </iconSet>
    </cfRule>
  </conditionalFormatting>
  <conditionalFormatting sqref="CA35">
    <cfRule type="iconSet" priority="1395">
      <iconSet iconSet="3Arrows">
        <cfvo type="percent" val="0"/>
        <cfvo type="formula" val="$CB$35"/>
        <cfvo type="formula" val="$CB$35" gte="0"/>
      </iconSet>
    </cfRule>
  </conditionalFormatting>
  <conditionalFormatting sqref="CA36">
    <cfRule type="iconSet" priority="1394">
      <iconSet iconSet="3Arrows">
        <cfvo type="percent" val="0"/>
        <cfvo type="formula" val="$CB$36"/>
        <cfvo type="formula" val="$CB$36" gte="0"/>
      </iconSet>
    </cfRule>
  </conditionalFormatting>
  <conditionalFormatting sqref="CC6">
    <cfRule type="iconSet" priority="1393">
      <iconSet iconSet="3Arrows">
        <cfvo type="percent" val="0"/>
        <cfvo type="formula" val="$CD$6"/>
        <cfvo type="formula" val="$CD$6" gte="0"/>
      </iconSet>
    </cfRule>
  </conditionalFormatting>
  <conditionalFormatting sqref="CC37">
    <cfRule type="iconSet" priority="1392">
      <iconSet iconSet="3Arrows">
        <cfvo type="percent" val="0"/>
        <cfvo type="formula" val="$CD$37"/>
        <cfvo type="formula" val="$CD$37" gte="0"/>
      </iconSet>
    </cfRule>
  </conditionalFormatting>
  <conditionalFormatting sqref="CC20">
    <cfRule type="iconSet" priority="1391">
      <iconSet iconSet="3Arrows">
        <cfvo type="percent" val="0"/>
        <cfvo type="formula" val="$CD$20"/>
        <cfvo type="formula" val="$CD$20" gte="0"/>
      </iconSet>
    </cfRule>
  </conditionalFormatting>
  <conditionalFormatting sqref="CC38">
    <cfRule type="iconSet" priority="1390">
      <iconSet iconSet="3Arrows">
        <cfvo type="percent" val="0"/>
        <cfvo type="formula" val="$CD$38"/>
        <cfvo type="formula" val="$CD$38" gte="0"/>
      </iconSet>
    </cfRule>
  </conditionalFormatting>
  <conditionalFormatting sqref="CC7">
    <cfRule type="iconSet" priority="1389">
      <iconSet iconSet="3Arrows">
        <cfvo type="percent" val="0"/>
        <cfvo type="formula" val="$CD$7"/>
        <cfvo type="formula" val="$CD$7" gte="0"/>
      </iconSet>
    </cfRule>
  </conditionalFormatting>
  <conditionalFormatting sqref="CC21">
    <cfRule type="iconSet" priority="1388">
      <iconSet iconSet="3Arrows">
        <cfvo type="percent" val="0"/>
        <cfvo type="formula" val="$CD$21"/>
        <cfvo type="formula" val="$CD$21" gte="0"/>
      </iconSet>
    </cfRule>
  </conditionalFormatting>
  <conditionalFormatting sqref="CC22">
    <cfRule type="iconSet" priority="1387">
      <iconSet iconSet="3Arrows">
        <cfvo type="percent" val="0"/>
        <cfvo type="formula" val="$CD$22"/>
        <cfvo type="formula" val="$CD$22" gte="0"/>
      </iconSet>
    </cfRule>
  </conditionalFormatting>
  <conditionalFormatting sqref="CC39">
    <cfRule type="iconSet" priority="1386">
      <iconSet iconSet="3Arrows">
        <cfvo type="percent" val="0"/>
        <cfvo type="formula" val="$CD$39"/>
        <cfvo type="formula" val="$CD$39" gte="0"/>
      </iconSet>
    </cfRule>
  </conditionalFormatting>
  <conditionalFormatting sqref="CC23">
    <cfRule type="iconSet" priority="1385">
      <iconSet iconSet="3Arrows">
        <cfvo type="percent" val="0"/>
        <cfvo type="formula" val="$CD$23"/>
        <cfvo type="formula" val="$CD$23" gte="0"/>
      </iconSet>
    </cfRule>
  </conditionalFormatting>
  <conditionalFormatting sqref="CC24">
    <cfRule type="iconSet" priority="1384">
      <iconSet iconSet="3Arrows">
        <cfvo type="percent" val="0"/>
        <cfvo type="formula" val="$CD$24"/>
        <cfvo type="formula" val="$CD$24" gte="0"/>
      </iconSet>
    </cfRule>
  </conditionalFormatting>
  <conditionalFormatting sqref="CC25">
    <cfRule type="iconSet" priority="1383">
      <iconSet iconSet="3Arrows">
        <cfvo type="percent" val="0"/>
        <cfvo type="formula" val="$CD$25"/>
        <cfvo type="formula" val="$CD$25" gte="0"/>
      </iconSet>
    </cfRule>
  </conditionalFormatting>
  <conditionalFormatting sqref="CC8">
    <cfRule type="iconSet" priority="1382">
      <iconSet iconSet="3Arrows">
        <cfvo type="percent" val="0"/>
        <cfvo type="formula" val="$CD$8"/>
        <cfvo type="formula" val="$CD$8" gte="0"/>
      </iconSet>
    </cfRule>
  </conditionalFormatting>
  <conditionalFormatting sqref="CC52">
    <cfRule type="iconSet" priority="1381">
      <iconSet iconSet="3Arrows">
        <cfvo type="percent" val="0"/>
        <cfvo type="formula" val="$CD$52"/>
        <cfvo type="formula" val="$CD$52" gte="0"/>
      </iconSet>
    </cfRule>
  </conditionalFormatting>
  <conditionalFormatting sqref="CC53">
    <cfRule type="iconSet" priority="1380">
      <iconSet iconSet="3Arrows">
        <cfvo type="percent" val="0"/>
        <cfvo type="formula" val="$CD$53"/>
        <cfvo type="formula" val="$CD$53" gte="0"/>
      </iconSet>
    </cfRule>
  </conditionalFormatting>
  <conditionalFormatting sqref="CC26">
    <cfRule type="iconSet" priority="1379">
      <iconSet iconSet="3Arrows">
        <cfvo type="percent" val="0"/>
        <cfvo type="formula" val="$CD$26"/>
        <cfvo type="formula" val="$CD$26" gte="0"/>
      </iconSet>
    </cfRule>
  </conditionalFormatting>
  <conditionalFormatting sqref="CC9">
    <cfRule type="iconSet" priority="1378">
      <iconSet iconSet="3Arrows">
        <cfvo type="percent" val="0"/>
        <cfvo type="formula" val="$CD$9"/>
        <cfvo type="formula" val="$CD$9" gte="0"/>
      </iconSet>
    </cfRule>
  </conditionalFormatting>
  <conditionalFormatting sqref="CC10">
    <cfRule type="iconSet" priority="1377">
      <iconSet iconSet="3Arrows">
        <cfvo type="percent" val="0"/>
        <cfvo type="formula" val="$CD$10"/>
        <cfvo type="formula" val="$CD$10" gte="0"/>
      </iconSet>
    </cfRule>
  </conditionalFormatting>
  <conditionalFormatting sqref="CC40">
    <cfRule type="iconSet" priority="1376">
      <iconSet iconSet="3Arrows">
        <cfvo type="percent" val="0"/>
        <cfvo type="formula" val="$CD$40"/>
        <cfvo type="formula" val="$CD$40" gte="0"/>
      </iconSet>
    </cfRule>
  </conditionalFormatting>
  <conditionalFormatting sqref="CC11">
    <cfRule type="iconSet" priority="1375">
      <iconSet iconSet="3Arrows">
        <cfvo type="percent" val="0"/>
        <cfvo type="formula" val="$CD$11"/>
        <cfvo type="formula" val="$CD$11" gte="0"/>
      </iconSet>
    </cfRule>
  </conditionalFormatting>
  <conditionalFormatting sqref="CC27">
    <cfRule type="iconSet" priority="1374">
      <iconSet iconSet="3Arrows">
        <cfvo type="percent" val="0"/>
        <cfvo type="formula" val="$CD$27"/>
        <cfvo type="formula" val="$CD$27" gte="0"/>
      </iconSet>
    </cfRule>
  </conditionalFormatting>
  <conditionalFormatting sqref="CC41">
    <cfRule type="iconSet" priority="1373">
      <iconSet iconSet="3Arrows">
        <cfvo type="percent" val="0"/>
        <cfvo type="formula" val="$CD$41"/>
        <cfvo type="formula" val="$CD$41" gte="0"/>
      </iconSet>
    </cfRule>
  </conditionalFormatting>
  <conditionalFormatting sqref="CC12">
    <cfRule type="iconSet" priority="1372">
      <iconSet iconSet="3Arrows">
        <cfvo type="percent" val="0"/>
        <cfvo type="formula" val="$CD$12"/>
        <cfvo type="formula" val="$CD$12" gte="0"/>
      </iconSet>
    </cfRule>
  </conditionalFormatting>
  <conditionalFormatting sqref="CC44">
    <cfRule type="iconSet" priority="1371">
      <iconSet iconSet="3Arrows">
        <cfvo type="percent" val="0"/>
        <cfvo type="formula" val="$CD$44"/>
        <cfvo type="formula" val="$CD$44" gte="0"/>
      </iconSet>
    </cfRule>
  </conditionalFormatting>
  <conditionalFormatting sqref="CC13">
    <cfRule type="iconSet" priority="1370">
      <iconSet iconSet="3Arrows">
        <cfvo type="percent" val="0"/>
        <cfvo type="formula" val="$CD$13"/>
        <cfvo type="formula" val="$CD$13" gte="0"/>
      </iconSet>
    </cfRule>
  </conditionalFormatting>
  <conditionalFormatting sqref="CC45">
    <cfRule type="iconSet" priority="1369">
      <iconSet iconSet="3Arrows">
        <cfvo type="percent" val="0"/>
        <cfvo type="formula" val="$CD$45"/>
        <cfvo type="formula" val="$CD$45" gte="0"/>
      </iconSet>
    </cfRule>
  </conditionalFormatting>
  <conditionalFormatting sqref="CC54">
    <cfRule type="iconSet" priority="1368">
      <iconSet iconSet="3Arrows">
        <cfvo type="percent" val="0"/>
        <cfvo type="formula" val="$CD$54"/>
        <cfvo type="formula" val="$CD$54" gte="0"/>
      </iconSet>
    </cfRule>
  </conditionalFormatting>
  <conditionalFormatting sqref="CC42">
    <cfRule type="iconSet" priority="1367">
      <iconSet iconSet="3Arrows">
        <cfvo type="percent" val="0"/>
        <cfvo type="formula" val="$CD$42"/>
        <cfvo type="formula" val="$CD$42" gte="0"/>
      </iconSet>
    </cfRule>
  </conditionalFormatting>
  <conditionalFormatting sqref="CC43">
    <cfRule type="iconSet" priority="1366">
      <iconSet iconSet="3Arrows">
        <cfvo type="percent" val="0"/>
        <cfvo type="formula" val="$CD$43"/>
        <cfvo type="formula" val="$CD$43" gte="0"/>
      </iconSet>
    </cfRule>
  </conditionalFormatting>
  <conditionalFormatting sqref="CC16">
    <cfRule type="iconSet" priority="1365">
      <iconSet iconSet="3Arrows">
        <cfvo type="percent" val="0"/>
        <cfvo type="formula" val="$CD$16"/>
        <cfvo type="formula" val="$CD$16" gte="0"/>
      </iconSet>
    </cfRule>
  </conditionalFormatting>
  <conditionalFormatting sqref="CC17">
    <cfRule type="iconSet" priority="1364">
      <iconSet iconSet="3Arrows">
        <cfvo type="percent" val="0"/>
        <cfvo type="formula" val="$CD$17"/>
        <cfvo type="formula" val="$CD$17" gte="0"/>
      </iconSet>
    </cfRule>
  </conditionalFormatting>
  <conditionalFormatting sqref="CC29">
    <cfRule type="iconSet" priority="1363">
      <iconSet iconSet="3Arrows">
        <cfvo type="percent" val="0"/>
        <cfvo type="formula" val="$CD$29"/>
        <cfvo type="formula" val="$CD$29" gte="0"/>
      </iconSet>
    </cfRule>
  </conditionalFormatting>
  <conditionalFormatting sqref="CC18">
    <cfRule type="iconSet" priority="1362">
      <iconSet iconSet="3Arrows">
        <cfvo type="percent" val="0"/>
        <cfvo type="formula" val="$CD$18"/>
        <cfvo type="formula" val="$CD$18" gte="0"/>
      </iconSet>
    </cfRule>
  </conditionalFormatting>
  <conditionalFormatting sqref="CC30">
    <cfRule type="iconSet" priority="1361">
      <iconSet iconSet="3Arrows">
        <cfvo type="percent" val="0"/>
        <cfvo type="formula" val="$CD$30"/>
        <cfvo type="formula" val="$CD$30" gte="0"/>
      </iconSet>
    </cfRule>
  </conditionalFormatting>
  <conditionalFormatting sqref="CC31">
    <cfRule type="iconSet" priority="1360">
      <iconSet iconSet="3Arrows">
        <cfvo type="percent" val="0"/>
        <cfvo type="formula" val="$CD$31"/>
        <cfvo type="formula" val="$CD$31" gte="0"/>
      </iconSet>
    </cfRule>
  </conditionalFormatting>
  <conditionalFormatting sqref="CC46">
    <cfRule type="iconSet" priority="1359">
      <iconSet iconSet="3Arrows">
        <cfvo type="percent" val="0"/>
        <cfvo type="formula" val="$CD$46"/>
        <cfvo type="formula" val="$CD$46" gte="0"/>
      </iconSet>
    </cfRule>
  </conditionalFormatting>
  <conditionalFormatting sqref="CC47">
    <cfRule type="iconSet" priority="1358">
      <iconSet iconSet="3Arrows">
        <cfvo type="percent" val="0"/>
        <cfvo type="formula" val="$CD$47"/>
        <cfvo type="formula" val="$CD$47" gte="0"/>
      </iconSet>
    </cfRule>
  </conditionalFormatting>
  <conditionalFormatting sqref="CC32">
    <cfRule type="iconSet" priority="1357">
      <iconSet iconSet="3Arrows">
        <cfvo type="percent" val="0"/>
        <cfvo type="formula" val="$CD$32"/>
        <cfvo type="formula" val="$CD$32" gte="0"/>
      </iconSet>
    </cfRule>
  </conditionalFormatting>
  <conditionalFormatting sqref="CC61">
    <cfRule type="iconSet" priority="1356">
      <iconSet iconSet="3Arrows">
        <cfvo type="percent" val="0"/>
        <cfvo type="formula" val="$CD$61"/>
        <cfvo type="formula" val="$CD$61" gte="0"/>
      </iconSet>
    </cfRule>
  </conditionalFormatting>
  <conditionalFormatting sqref="CC57">
    <cfRule type="iconSet" priority="1355">
      <iconSet iconSet="3Arrows">
        <cfvo type="percent" val="0"/>
        <cfvo type="formula" val="$CD$57"/>
        <cfvo type="formula" val="$CD$57" gte="0"/>
      </iconSet>
    </cfRule>
  </conditionalFormatting>
  <conditionalFormatting sqref="CC34">
    <cfRule type="iconSet" priority="1354">
      <iconSet iconSet="3Arrows">
        <cfvo type="percent" val="0"/>
        <cfvo type="formula" val="$CD$34"/>
        <cfvo type="formula" val="$CD$34" gte="0"/>
      </iconSet>
    </cfRule>
  </conditionalFormatting>
  <conditionalFormatting sqref="CC48">
    <cfRule type="iconSet" priority="1353">
      <iconSet iconSet="3Arrows">
        <cfvo type="percent" val="0"/>
        <cfvo type="formula" val="$CD$48"/>
        <cfvo type="formula" val="$CD$48" gte="0"/>
      </iconSet>
    </cfRule>
  </conditionalFormatting>
  <conditionalFormatting sqref="CC19">
    <cfRule type="iconSet" priority="1352">
      <iconSet iconSet="3Arrows">
        <cfvo type="percent" val="0"/>
        <cfvo type="formula" val="$CD$19"/>
        <cfvo type="formula" val="$CD$19" gte="0"/>
      </iconSet>
    </cfRule>
  </conditionalFormatting>
  <conditionalFormatting sqref="CC35">
    <cfRule type="iconSet" priority="1351">
      <iconSet iconSet="3Arrows">
        <cfvo type="percent" val="0"/>
        <cfvo type="formula" val="$CD$35"/>
        <cfvo type="formula" val="$CD$35" gte="0"/>
      </iconSet>
    </cfRule>
  </conditionalFormatting>
  <conditionalFormatting sqref="CC36">
    <cfRule type="iconSet" priority="1350">
      <iconSet iconSet="3Arrows">
        <cfvo type="percent" val="0"/>
        <cfvo type="formula" val="$CD$36"/>
        <cfvo type="formula" val="$CD$36" gte="0"/>
      </iconSet>
    </cfRule>
  </conditionalFormatting>
  <conditionalFormatting sqref="CE6">
    <cfRule type="iconSet" priority="1349">
      <iconSet iconSet="3Arrows">
        <cfvo type="percent" val="0"/>
        <cfvo type="formula" val="$CF$6"/>
        <cfvo type="formula" val="$CF$6" gte="0"/>
      </iconSet>
    </cfRule>
  </conditionalFormatting>
  <conditionalFormatting sqref="CE37">
    <cfRule type="iconSet" priority="1348">
      <iconSet iconSet="3Arrows">
        <cfvo type="percent" val="0"/>
        <cfvo type="formula" val="$CF$37"/>
        <cfvo type="formula" val="$CF$37" gte="0"/>
      </iconSet>
    </cfRule>
  </conditionalFormatting>
  <conditionalFormatting sqref="CE20">
    <cfRule type="iconSet" priority="1347">
      <iconSet iconSet="3Arrows">
        <cfvo type="percent" val="0"/>
        <cfvo type="formula" val="$CF$20"/>
        <cfvo type="formula" val="$CF$20" gte="0"/>
      </iconSet>
    </cfRule>
  </conditionalFormatting>
  <conditionalFormatting sqref="CE38">
    <cfRule type="iconSet" priority="1346">
      <iconSet iconSet="3Arrows">
        <cfvo type="percent" val="0"/>
        <cfvo type="formula" val="$CF$38"/>
        <cfvo type="formula" val="$CF$38" gte="0"/>
      </iconSet>
    </cfRule>
  </conditionalFormatting>
  <conditionalFormatting sqref="CE7">
    <cfRule type="iconSet" priority="1345">
      <iconSet iconSet="3Arrows">
        <cfvo type="percent" val="0"/>
        <cfvo type="formula" val="$CF$7"/>
        <cfvo type="formula" val="$CF$7" gte="0"/>
      </iconSet>
    </cfRule>
  </conditionalFormatting>
  <conditionalFormatting sqref="CE21">
    <cfRule type="iconSet" priority="1344">
      <iconSet iconSet="3Arrows">
        <cfvo type="percent" val="0"/>
        <cfvo type="formula" val="$CF$21"/>
        <cfvo type="formula" val="$CF$21" gte="0"/>
      </iconSet>
    </cfRule>
  </conditionalFormatting>
  <conditionalFormatting sqref="CE22">
    <cfRule type="iconSet" priority="1343">
      <iconSet iconSet="3Arrows">
        <cfvo type="percent" val="0"/>
        <cfvo type="formula" val="$CF$22"/>
        <cfvo type="formula" val="$CF$22" gte="0"/>
      </iconSet>
    </cfRule>
  </conditionalFormatting>
  <conditionalFormatting sqref="CE39">
    <cfRule type="iconSet" priority="1342">
      <iconSet iconSet="3Arrows">
        <cfvo type="percent" val="0"/>
        <cfvo type="formula" val="$CF$39"/>
        <cfvo type="formula" val="$CF$39" gte="0"/>
      </iconSet>
    </cfRule>
  </conditionalFormatting>
  <conditionalFormatting sqref="CE23">
    <cfRule type="iconSet" priority="1341">
      <iconSet iconSet="3Arrows">
        <cfvo type="percent" val="0"/>
        <cfvo type="formula" val="$CF$23"/>
        <cfvo type="formula" val="$CF$23" gte="0"/>
      </iconSet>
    </cfRule>
  </conditionalFormatting>
  <conditionalFormatting sqref="CE24">
    <cfRule type="iconSet" priority="1340">
      <iconSet iconSet="3Arrows">
        <cfvo type="percent" val="0"/>
        <cfvo type="formula" val="$CF$24"/>
        <cfvo type="formula" val="$CF$24" gte="0"/>
      </iconSet>
    </cfRule>
  </conditionalFormatting>
  <conditionalFormatting sqref="CE25">
    <cfRule type="iconSet" priority="1339">
      <iconSet iconSet="3Arrows">
        <cfvo type="percent" val="0"/>
        <cfvo type="formula" val="$CF$25"/>
        <cfvo type="formula" val="$CF$25" gte="0"/>
      </iconSet>
    </cfRule>
  </conditionalFormatting>
  <conditionalFormatting sqref="CE8">
    <cfRule type="iconSet" priority="1338">
      <iconSet iconSet="3Arrows">
        <cfvo type="percent" val="0"/>
        <cfvo type="formula" val="$CF$8"/>
        <cfvo type="formula" val="$CF$8" gte="0"/>
      </iconSet>
    </cfRule>
  </conditionalFormatting>
  <conditionalFormatting sqref="CE52">
    <cfRule type="iconSet" priority="1337">
      <iconSet iconSet="3Arrows">
        <cfvo type="percent" val="0"/>
        <cfvo type="formula" val="$CF$52"/>
        <cfvo type="formula" val="$CF$52" gte="0"/>
      </iconSet>
    </cfRule>
  </conditionalFormatting>
  <conditionalFormatting sqref="CE53">
    <cfRule type="iconSet" priority="1336">
      <iconSet iconSet="3Arrows">
        <cfvo type="percent" val="0"/>
        <cfvo type="formula" val="$CF$53"/>
        <cfvo type="formula" val="$CF$53" gte="0"/>
      </iconSet>
    </cfRule>
  </conditionalFormatting>
  <conditionalFormatting sqref="CE26">
    <cfRule type="iconSet" priority="1335">
      <iconSet iconSet="3Arrows">
        <cfvo type="percent" val="0"/>
        <cfvo type="formula" val="$CF$26"/>
        <cfvo type="formula" val="$CF$26" gte="0"/>
      </iconSet>
    </cfRule>
  </conditionalFormatting>
  <conditionalFormatting sqref="CE9">
    <cfRule type="iconSet" priority="1334">
      <iconSet iconSet="3Arrows">
        <cfvo type="percent" val="0"/>
        <cfvo type="formula" val="$CF$9"/>
        <cfvo type="formula" val="$CF$9" gte="0"/>
      </iconSet>
    </cfRule>
  </conditionalFormatting>
  <conditionalFormatting sqref="CE10">
    <cfRule type="iconSet" priority="1333">
      <iconSet iconSet="3Arrows">
        <cfvo type="percent" val="0"/>
        <cfvo type="formula" val="$CF$10"/>
        <cfvo type="formula" val="$CF$10" gte="0"/>
      </iconSet>
    </cfRule>
  </conditionalFormatting>
  <conditionalFormatting sqref="CE40">
    <cfRule type="iconSet" priority="1332">
      <iconSet iconSet="3Arrows">
        <cfvo type="percent" val="0"/>
        <cfvo type="formula" val="$CF$40"/>
        <cfvo type="formula" val="$CF$40" gte="0"/>
      </iconSet>
    </cfRule>
  </conditionalFormatting>
  <conditionalFormatting sqref="CE11">
    <cfRule type="iconSet" priority="1331">
      <iconSet iconSet="3Arrows">
        <cfvo type="percent" val="0"/>
        <cfvo type="formula" val="$CF$11"/>
        <cfvo type="formula" val="$CF$11" gte="0"/>
      </iconSet>
    </cfRule>
  </conditionalFormatting>
  <conditionalFormatting sqref="CE27">
    <cfRule type="iconSet" priority="1330">
      <iconSet iconSet="3Arrows">
        <cfvo type="percent" val="0"/>
        <cfvo type="formula" val="$CF$27"/>
        <cfvo type="formula" val="$CF$27" gte="0"/>
      </iconSet>
    </cfRule>
  </conditionalFormatting>
  <conditionalFormatting sqref="CE41">
    <cfRule type="iconSet" priority="1329">
      <iconSet iconSet="3Arrows">
        <cfvo type="percent" val="0"/>
        <cfvo type="formula" val="$CF$41"/>
        <cfvo type="formula" val="$CF$41" gte="0"/>
      </iconSet>
    </cfRule>
  </conditionalFormatting>
  <conditionalFormatting sqref="CE12">
    <cfRule type="iconSet" priority="1328">
      <iconSet iconSet="3Arrows">
        <cfvo type="percent" val="0"/>
        <cfvo type="formula" val="$CF$12"/>
        <cfvo type="formula" val="$CF$12" gte="0"/>
      </iconSet>
    </cfRule>
  </conditionalFormatting>
  <conditionalFormatting sqref="CE44">
    <cfRule type="iconSet" priority="1327">
      <iconSet iconSet="3Arrows">
        <cfvo type="percent" val="0"/>
        <cfvo type="formula" val="$CF$44"/>
        <cfvo type="formula" val="$CF$44" gte="0"/>
      </iconSet>
    </cfRule>
  </conditionalFormatting>
  <conditionalFormatting sqref="CE13">
    <cfRule type="iconSet" priority="1326">
      <iconSet iconSet="3Arrows">
        <cfvo type="percent" val="0"/>
        <cfvo type="formula" val="$CF$13"/>
        <cfvo type="formula" val="$CF$13" gte="0"/>
      </iconSet>
    </cfRule>
  </conditionalFormatting>
  <conditionalFormatting sqref="CE45">
    <cfRule type="iconSet" priority="1325">
      <iconSet iconSet="3Arrows">
        <cfvo type="percent" val="0"/>
        <cfvo type="formula" val="$CF$45"/>
        <cfvo type="formula" val="$CF$45" gte="0"/>
      </iconSet>
    </cfRule>
  </conditionalFormatting>
  <conditionalFormatting sqref="CE54">
    <cfRule type="iconSet" priority="1324">
      <iconSet iconSet="3Arrows">
        <cfvo type="percent" val="0"/>
        <cfvo type="formula" val="$CF$54"/>
        <cfvo type="formula" val="$CF$54" gte="0"/>
      </iconSet>
    </cfRule>
  </conditionalFormatting>
  <conditionalFormatting sqref="CE42">
    <cfRule type="iconSet" priority="1323">
      <iconSet iconSet="3Arrows">
        <cfvo type="percent" val="0"/>
        <cfvo type="formula" val="$CF$42"/>
        <cfvo type="formula" val="$CF$42" gte="0"/>
      </iconSet>
    </cfRule>
  </conditionalFormatting>
  <conditionalFormatting sqref="CE43">
    <cfRule type="iconSet" priority="1322">
      <iconSet iconSet="3Arrows">
        <cfvo type="percent" val="0"/>
        <cfvo type="formula" val="$CF$43"/>
        <cfvo type="formula" val="$CF$43" gte="0"/>
      </iconSet>
    </cfRule>
  </conditionalFormatting>
  <conditionalFormatting sqref="CE16">
    <cfRule type="iconSet" priority="1321">
      <iconSet iconSet="3Arrows">
        <cfvo type="percent" val="0"/>
        <cfvo type="formula" val="$CF$16"/>
        <cfvo type="formula" val="$CF$16" gte="0"/>
      </iconSet>
    </cfRule>
  </conditionalFormatting>
  <conditionalFormatting sqref="CE17">
    <cfRule type="iconSet" priority="1320">
      <iconSet iconSet="3Arrows">
        <cfvo type="percent" val="0"/>
        <cfvo type="formula" val="$CF$17"/>
        <cfvo type="formula" val="$CF$17" gte="0"/>
      </iconSet>
    </cfRule>
  </conditionalFormatting>
  <conditionalFormatting sqref="CE29">
    <cfRule type="iconSet" priority="1319">
      <iconSet iconSet="3Arrows">
        <cfvo type="percent" val="0"/>
        <cfvo type="formula" val="$CF$29"/>
        <cfvo type="formula" val="$CF$29" gte="0"/>
      </iconSet>
    </cfRule>
  </conditionalFormatting>
  <conditionalFormatting sqref="CE18">
    <cfRule type="iconSet" priority="1318">
      <iconSet iconSet="3Arrows">
        <cfvo type="percent" val="0"/>
        <cfvo type="formula" val="$CF$18"/>
        <cfvo type="formula" val="$CF$18" gte="0"/>
      </iconSet>
    </cfRule>
  </conditionalFormatting>
  <conditionalFormatting sqref="CE30">
    <cfRule type="iconSet" priority="1317">
      <iconSet iconSet="3Arrows">
        <cfvo type="percent" val="0"/>
        <cfvo type="formula" val="$CF$30"/>
        <cfvo type="formula" val="$CF$30" gte="0"/>
      </iconSet>
    </cfRule>
  </conditionalFormatting>
  <conditionalFormatting sqref="CE31">
    <cfRule type="iconSet" priority="1316">
      <iconSet iconSet="3Arrows">
        <cfvo type="percent" val="0"/>
        <cfvo type="formula" val="$CF$31"/>
        <cfvo type="formula" val="$CF$31" gte="0"/>
      </iconSet>
    </cfRule>
  </conditionalFormatting>
  <conditionalFormatting sqref="CE46">
    <cfRule type="iconSet" priority="1315">
      <iconSet iconSet="3Arrows">
        <cfvo type="percent" val="0"/>
        <cfvo type="formula" val="$CF$46"/>
        <cfvo type="formula" val="$CF$46" gte="0"/>
      </iconSet>
    </cfRule>
  </conditionalFormatting>
  <conditionalFormatting sqref="CE47">
    <cfRule type="iconSet" priority="1314">
      <iconSet iconSet="3Arrows">
        <cfvo type="percent" val="0"/>
        <cfvo type="formula" val="$CF$47"/>
        <cfvo type="formula" val="$CF$47" gte="0"/>
      </iconSet>
    </cfRule>
  </conditionalFormatting>
  <conditionalFormatting sqref="CE32">
    <cfRule type="iconSet" priority="1313">
      <iconSet iconSet="3Arrows">
        <cfvo type="percent" val="0"/>
        <cfvo type="formula" val="$CF$32"/>
        <cfvo type="formula" val="$CF$32" gte="0"/>
      </iconSet>
    </cfRule>
  </conditionalFormatting>
  <conditionalFormatting sqref="CE61">
    <cfRule type="iconSet" priority="1312">
      <iconSet iconSet="3Arrows">
        <cfvo type="percent" val="0"/>
        <cfvo type="formula" val="$CF$61"/>
        <cfvo type="formula" val="$CF$61" gte="0"/>
      </iconSet>
    </cfRule>
  </conditionalFormatting>
  <conditionalFormatting sqref="CE57">
    <cfRule type="iconSet" priority="1311">
      <iconSet iconSet="3Arrows">
        <cfvo type="percent" val="0"/>
        <cfvo type="formula" val="$CF$57"/>
        <cfvo type="formula" val="$CF$57" gte="0"/>
      </iconSet>
    </cfRule>
  </conditionalFormatting>
  <conditionalFormatting sqref="CE34">
    <cfRule type="iconSet" priority="1310">
      <iconSet iconSet="3Arrows">
        <cfvo type="percent" val="0"/>
        <cfvo type="formula" val="$CF$34"/>
        <cfvo type="formula" val="$CF$34" gte="0"/>
      </iconSet>
    </cfRule>
  </conditionalFormatting>
  <conditionalFormatting sqref="CE48">
    <cfRule type="iconSet" priority="1309">
      <iconSet iconSet="3Arrows">
        <cfvo type="percent" val="0"/>
        <cfvo type="formula" val="$CF$48"/>
        <cfvo type="formula" val="$CF$48" gte="0"/>
      </iconSet>
    </cfRule>
  </conditionalFormatting>
  <conditionalFormatting sqref="CE19">
    <cfRule type="iconSet" priority="1308">
      <iconSet iconSet="3Arrows">
        <cfvo type="percent" val="0"/>
        <cfvo type="formula" val="$CF$19"/>
        <cfvo type="formula" val="$CF$19" gte="0"/>
      </iconSet>
    </cfRule>
  </conditionalFormatting>
  <conditionalFormatting sqref="CE35">
    <cfRule type="iconSet" priority="1307">
      <iconSet iconSet="3Arrows">
        <cfvo type="percent" val="0"/>
        <cfvo type="formula" val="$CF$35"/>
        <cfvo type="formula" val="$CF$35" gte="0"/>
      </iconSet>
    </cfRule>
  </conditionalFormatting>
  <conditionalFormatting sqref="CE36">
    <cfRule type="iconSet" priority="1306">
      <iconSet iconSet="3Arrows">
        <cfvo type="percent" val="0"/>
        <cfvo type="formula" val="$CF$36"/>
        <cfvo type="formula" val="$CF$36" gte="0"/>
      </iconSet>
    </cfRule>
  </conditionalFormatting>
  <conditionalFormatting sqref="CG6">
    <cfRule type="iconSet" priority="1305">
      <iconSet iconSet="3Arrows">
        <cfvo type="percent" val="0"/>
        <cfvo type="formula" val="$CH$6"/>
        <cfvo type="formula" val="$CH$6" gte="0"/>
      </iconSet>
    </cfRule>
  </conditionalFormatting>
  <conditionalFormatting sqref="CG37">
    <cfRule type="iconSet" priority="1304">
      <iconSet iconSet="3Arrows">
        <cfvo type="percent" val="0"/>
        <cfvo type="formula" val="$CH$37"/>
        <cfvo type="formula" val="$CH$37" gte="0"/>
      </iconSet>
    </cfRule>
  </conditionalFormatting>
  <conditionalFormatting sqref="CG20">
    <cfRule type="iconSet" priority="1303">
      <iconSet iconSet="3Arrows">
        <cfvo type="percent" val="0"/>
        <cfvo type="formula" val="$CH$20"/>
        <cfvo type="formula" val="$CH$20" gte="0"/>
      </iconSet>
    </cfRule>
  </conditionalFormatting>
  <conditionalFormatting sqref="CG38">
    <cfRule type="iconSet" priority="1302">
      <iconSet iconSet="3Arrows">
        <cfvo type="percent" val="0"/>
        <cfvo type="formula" val="$CH$38"/>
        <cfvo type="formula" val="$CH$38" gte="0"/>
      </iconSet>
    </cfRule>
  </conditionalFormatting>
  <conditionalFormatting sqref="CG7">
    <cfRule type="iconSet" priority="1301">
      <iconSet iconSet="3Arrows">
        <cfvo type="percent" val="0"/>
        <cfvo type="formula" val="$CH$7"/>
        <cfvo type="formula" val="$CH$7" gte="0"/>
      </iconSet>
    </cfRule>
  </conditionalFormatting>
  <conditionalFormatting sqref="CG21">
    <cfRule type="iconSet" priority="1300">
      <iconSet iconSet="3Arrows">
        <cfvo type="percent" val="0"/>
        <cfvo type="formula" val="$CH$21"/>
        <cfvo type="formula" val="$CH$21" gte="0"/>
      </iconSet>
    </cfRule>
  </conditionalFormatting>
  <conditionalFormatting sqref="CG22">
    <cfRule type="iconSet" priority="1299">
      <iconSet iconSet="3Arrows">
        <cfvo type="percent" val="0"/>
        <cfvo type="formula" val="$CH$22"/>
        <cfvo type="formula" val="$CH$22" gte="0"/>
      </iconSet>
    </cfRule>
  </conditionalFormatting>
  <conditionalFormatting sqref="CG39">
    <cfRule type="iconSet" priority="1298">
      <iconSet iconSet="3Arrows">
        <cfvo type="percent" val="0"/>
        <cfvo type="formula" val="$CH$39"/>
        <cfvo type="formula" val="$CH$39" gte="0"/>
      </iconSet>
    </cfRule>
  </conditionalFormatting>
  <conditionalFormatting sqref="CG23">
    <cfRule type="iconSet" priority="1297">
      <iconSet iconSet="3Arrows">
        <cfvo type="percent" val="0"/>
        <cfvo type="formula" val="$CH$23"/>
        <cfvo type="formula" val="$CH$23" gte="0"/>
      </iconSet>
    </cfRule>
  </conditionalFormatting>
  <conditionalFormatting sqref="CG24">
    <cfRule type="iconSet" priority="1296">
      <iconSet iconSet="3Arrows">
        <cfvo type="percent" val="0"/>
        <cfvo type="formula" val="$CH$24"/>
        <cfvo type="formula" val="$CH$24" gte="0"/>
      </iconSet>
    </cfRule>
  </conditionalFormatting>
  <conditionalFormatting sqref="CG25">
    <cfRule type="iconSet" priority="1295">
      <iconSet iconSet="3Arrows">
        <cfvo type="percent" val="0"/>
        <cfvo type="formula" val="$CH$25"/>
        <cfvo type="formula" val="$CH$25" gte="0"/>
      </iconSet>
    </cfRule>
  </conditionalFormatting>
  <conditionalFormatting sqref="CG8">
    <cfRule type="iconSet" priority="1294">
      <iconSet iconSet="3Arrows">
        <cfvo type="percent" val="0"/>
        <cfvo type="formula" val="$CH$8"/>
        <cfvo type="formula" val="$CH$8" gte="0"/>
      </iconSet>
    </cfRule>
  </conditionalFormatting>
  <conditionalFormatting sqref="CG52">
    <cfRule type="iconSet" priority="1293">
      <iconSet iconSet="3Arrows">
        <cfvo type="percent" val="0"/>
        <cfvo type="formula" val="$CH$52"/>
        <cfvo type="formula" val="$CH$52" gte="0"/>
      </iconSet>
    </cfRule>
  </conditionalFormatting>
  <conditionalFormatting sqref="CG53">
    <cfRule type="iconSet" priority="1292">
      <iconSet iconSet="3Arrows">
        <cfvo type="percent" val="0"/>
        <cfvo type="formula" val="$CH$53"/>
        <cfvo type="formula" val="$CH$53" gte="0"/>
      </iconSet>
    </cfRule>
  </conditionalFormatting>
  <conditionalFormatting sqref="CG26">
    <cfRule type="iconSet" priority="1291">
      <iconSet iconSet="3Arrows">
        <cfvo type="percent" val="0"/>
        <cfvo type="formula" val="$CH$26"/>
        <cfvo type="formula" val="$CH$26" gte="0"/>
      </iconSet>
    </cfRule>
  </conditionalFormatting>
  <conditionalFormatting sqref="CG9">
    <cfRule type="iconSet" priority="1290">
      <iconSet iconSet="3Arrows">
        <cfvo type="percent" val="0"/>
        <cfvo type="formula" val="$CH$9"/>
        <cfvo type="formula" val="$CH$9" gte="0"/>
      </iconSet>
    </cfRule>
  </conditionalFormatting>
  <conditionalFormatting sqref="CG10">
    <cfRule type="iconSet" priority="1289">
      <iconSet iconSet="3Arrows">
        <cfvo type="percent" val="0"/>
        <cfvo type="formula" val="$CH$10"/>
        <cfvo type="formula" val="$CH$10" gte="0"/>
      </iconSet>
    </cfRule>
  </conditionalFormatting>
  <conditionalFormatting sqref="CG40">
    <cfRule type="iconSet" priority="1288">
      <iconSet iconSet="3Arrows">
        <cfvo type="percent" val="0"/>
        <cfvo type="formula" val="$CH$40"/>
        <cfvo type="formula" val="$CH$40" gte="0"/>
      </iconSet>
    </cfRule>
  </conditionalFormatting>
  <conditionalFormatting sqref="CG11">
    <cfRule type="iconSet" priority="1287">
      <iconSet iconSet="3Arrows">
        <cfvo type="percent" val="0"/>
        <cfvo type="formula" val="$CH$11"/>
        <cfvo type="formula" val="$CH$11" gte="0"/>
      </iconSet>
    </cfRule>
  </conditionalFormatting>
  <conditionalFormatting sqref="CG27">
    <cfRule type="iconSet" priority="1286">
      <iconSet iconSet="3Arrows">
        <cfvo type="percent" val="0"/>
        <cfvo type="formula" val="$CH$27"/>
        <cfvo type="formula" val="$CH$27" gte="0"/>
      </iconSet>
    </cfRule>
  </conditionalFormatting>
  <conditionalFormatting sqref="CG41">
    <cfRule type="iconSet" priority="1285">
      <iconSet iconSet="3Arrows">
        <cfvo type="percent" val="0"/>
        <cfvo type="formula" val="$CH$41"/>
        <cfvo type="formula" val="$CH$41" gte="0"/>
      </iconSet>
    </cfRule>
  </conditionalFormatting>
  <conditionalFormatting sqref="CG12">
    <cfRule type="iconSet" priority="1284">
      <iconSet iconSet="3Arrows">
        <cfvo type="percent" val="0"/>
        <cfvo type="formula" val="$CH$12"/>
        <cfvo type="formula" val="$CH$12" gte="0"/>
      </iconSet>
    </cfRule>
  </conditionalFormatting>
  <conditionalFormatting sqref="CG44">
    <cfRule type="iconSet" priority="1283">
      <iconSet iconSet="3Arrows">
        <cfvo type="percent" val="0"/>
        <cfvo type="formula" val="$CH$44"/>
        <cfvo type="formula" val="$CH$44" gte="0"/>
      </iconSet>
    </cfRule>
  </conditionalFormatting>
  <conditionalFormatting sqref="CG13">
    <cfRule type="iconSet" priority="1282">
      <iconSet iconSet="3Arrows">
        <cfvo type="percent" val="0"/>
        <cfvo type="formula" val="$CH$13"/>
        <cfvo type="formula" val="$CH$13" gte="0"/>
      </iconSet>
    </cfRule>
  </conditionalFormatting>
  <conditionalFormatting sqref="CG45">
    <cfRule type="iconSet" priority="1281">
      <iconSet iconSet="3Arrows">
        <cfvo type="percent" val="0"/>
        <cfvo type="formula" val="$CH$45"/>
        <cfvo type="formula" val="$CH$45" gte="0"/>
      </iconSet>
    </cfRule>
  </conditionalFormatting>
  <conditionalFormatting sqref="CG54">
    <cfRule type="iconSet" priority="1280">
      <iconSet iconSet="3Arrows">
        <cfvo type="percent" val="0"/>
        <cfvo type="formula" val="$CH$54"/>
        <cfvo type="formula" val="$CH$54" gte="0"/>
      </iconSet>
    </cfRule>
  </conditionalFormatting>
  <conditionalFormatting sqref="CG42">
    <cfRule type="iconSet" priority="1279">
      <iconSet iconSet="3Arrows">
        <cfvo type="percent" val="0"/>
        <cfvo type="formula" val="$CH$42"/>
        <cfvo type="formula" val="$CH$42" gte="0"/>
      </iconSet>
    </cfRule>
  </conditionalFormatting>
  <conditionalFormatting sqref="CG43">
    <cfRule type="iconSet" priority="1278">
      <iconSet iconSet="3Arrows">
        <cfvo type="percent" val="0"/>
        <cfvo type="formula" val="$CH$43"/>
        <cfvo type="formula" val="$CH$43" gte="0"/>
      </iconSet>
    </cfRule>
  </conditionalFormatting>
  <conditionalFormatting sqref="CG16">
    <cfRule type="iconSet" priority="1277">
      <iconSet iconSet="3Arrows">
        <cfvo type="percent" val="0"/>
        <cfvo type="formula" val="$CH$16"/>
        <cfvo type="formula" val="$CH$16" gte="0"/>
      </iconSet>
    </cfRule>
  </conditionalFormatting>
  <conditionalFormatting sqref="CG17">
    <cfRule type="iconSet" priority="1276">
      <iconSet iconSet="3Arrows">
        <cfvo type="percent" val="0"/>
        <cfvo type="formula" val="$CH$17"/>
        <cfvo type="formula" val="$CH$17" gte="0"/>
      </iconSet>
    </cfRule>
  </conditionalFormatting>
  <conditionalFormatting sqref="CG29">
    <cfRule type="iconSet" priority="1275">
      <iconSet iconSet="3Arrows">
        <cfvo type="percent" val="0"/>
        <cfvo type="formula" val="$CH$29"/>
        <cfvo type="formula" val="$CH$29" gte="0"/>
      </iconSet>
    </cfRule>
  </conditionalFormatting>
  <conditionalFormatting sqref="CG18">
    <cfRule type="iconSet" priority="1274">
      <iconSet iconSet="3Arrows">
        <cfvo type="percent" val="0"/>
        <cfvo type="formula" val="$CH$18"/>
        <cfvo type="formula" val="$CH$18" gte="0"/>
      </iconSet>
    </cfRule>
  </conditionalFormatting>
  <conditionalFormatting sqref="CG30">
    <cfRule type="iconSet" priority="1273">
      <iconSet iconSet="3Arrows">
        <cfvo type="percent" val="0"/>
        <cfvo type="formula" val="$CH$30"/>
        <cfvo type="formula" val="$CH$30" gte="0"/>
      </iconSet>
    </cfRule>
  </conditionalFormatting>
  <conditionalFormatting sqref="CG31">
    <cfRule type="iconSet" priority="1272">
      <iconSet iconSet="3Arrows">
        <cfvo type="percent" val="0"/>
        <cfvo type="formula" val="$CH$31"/>
        <cfvo type="formula" val="$CH$31" gte="0"/>
      </iconSet>
    </cfRule>
  </conditionalFormatting>
  <conditionalFormatting sqref="CG46">
    <cfRule type="iconSet" priority="1271">
      <iconSet iconSet="3Arrows">
        <cfvo type="percent" val="0"/>
        <cfvo type="formula" val="$CH$46"/>
        <cfvo type="formula" val="$CH$46" gte="0"/>
      </iconSet>
    </cfRule>
  </conditionalFormatting>
  <conditionalFormatting sqref="CG47">
    <cfRule type="iconSet" priority="1270">
      <iconSet iconSet="3Arrows">
        <cfvo type="percent" val="0"/>
        <cfvo type="formula" val="$CH$47"/>
        <cfvo type="formula" val="$CH$47" gte="0"/>
      </iconSet>
    </cfRule>
  </conditionalFormatting>
  <conditionalFormatting sqref="CG32">
    <cfRule type="iconSet" priority="1269">
      <iconSet iconSet="3Arrows">
        <cfvo type="percent" val="0"/>
        <cfvo type="formula" val="$CH$32"/>
        <cfvo type="formula" val="$CH$32" gte="0"/>
      </iconSet>
    </cfRule>
  </conditionalFormatting>
  <conditionalFormatting sqref="CG61">
    <cfRule type="iconSet" priority="1268">
      <iconSet iconSet="3Arrows">
        <cfvo type="percent" val="0"/>
        <cfvo type="formula" val="$CH$61"/>
        <cfvo type="formula" val="$CH$61" gte="0"/>
      </iconSet>
    </cfRule>
  </conditionalFormatting>
  <conditionalFormatting sqref="CG57">
    <cfRule type="iconSet" priority="1267">
      <iconSet iconSet="3Arrows">
        <cfvo type="percent" val="0"/>
        <cfvo type="formula" val="$CH$57"/>
        <cfvo type="formula" val="$CH$57" gte="0"/>
      </iconSet>
    </cfRule>
  </conditionalFormatting>
  <conditionalFormatting sqref="CG34">
    <cfRule type="iconSet" priority="1266">
      <iconSet iconSet="3Arrows">
        <cfvo type="percent" val="0"/>
        <cfvo type="formula" val="$CH$34"/>
        <cfvo type="formula" val="$CH$34" gte="0"/>
      </iconSet>
    </cfRule>
  </conditionalFormatting>
  <conditionalFormatting sqref="CG48">
    <cfRule type="iconSet" priority="1265">
      <iconSet iconSet="3Arrows">
        <cfvo type="percent" val="0"/>
        <cfvo type="formula" val="$CH$48"/>
        <cfvo type="formula" val="$CH$48" gte="0"/>
      </iconSet>
    </cfRule>
  </conditionalFormatting>
  <conditionalFormatting sqref="CG19">
    <cfRule type="iconSet" priority="1264">
      <iconSet iconSet="3Arrows">
        <cfvo type="percent" val="0"/>
        <cfvo type="formula" val="$CH$19"/>
        <cfvo type="formula" val="$CH$19" gte="0"/>
      </iconSet>
    </cfRule>
  </conditionalFormatting>
  <conditionalFormatting sqref="CG35">
    <cfRule type="iconSet" priority="1263">
      <iconSet iconSet="3Arrows">
        <cfvo type="percent" val="0"/>
        <cfvo type="formula" val="$CH$35"/>
        <cfvo type="formula" val="$CH$35" gte="0"/>
      </iconSet>
    </cfRule>
  </conditionalFormatting>
  <conditionalFormatting sqref="CG36">
    <cfRule type="iconSet" priority="1262">
      <iconSet iconSet="3Arrows">
        <cfvo type="percent" val="0"/>
        <cfvo type="formula" val="$CH$36"/>
        <cfvo type="formula" val="$CH$36" gte="0"/>
      </iconSet>
    </cfRule>
  </conditionalFormatting>
  <conditionalFormatting sqref="CI6">
    <cfRule type="iconSet" priority="1261">
      <iconSet iconSet="3Arrows">
        <cfvo type="percent" val="0"/>
        <cfvo type="formula" val="$CJ$6"/>
        <cfvo type="formula" val="$CJ$6" gte="0"/>
      </iconSet>
    </cfRule>
  </conditionalFormatting>
  <conditionalFormatting sqref="CI37">
    <cfRule type="iconSet" priority="1260">
      <iconSet iconSet="3Arrows">
        <cfvo type="percent" val="0"/>
        <cfvo type="formula" val="$CJ$37"/>
        <cfvo type="formula" val="$CJ$37" gte="0"/>
      </iconSet>
    </cfRule>
  </conditionalFormatting>
  <conditionalFormatting sqref="CI38">
    <cfRule type="iconSet" priority="1259">
      <iconSet iconSet="3Arrows">
        <cfvo type="percent" val="0"/>
        <cfvo type="formula" val="$CJ$38"/>
        <cfvo type="formula" val="$CJ$38" gte="0"/>
      </iconSet>
    </cfRule>
  </conditionalFormatting>
  <conditionalFormatting sqref="CI7">
    <cfRule type="iconSet" priority="1258">
      <iconSet iconSet="3Arrows">
        <cfvo type="percent" val="0"/>
        <cfvo type="formula" val="$CJ$7"/>
        <cfvo type="formula" val="$CJ$7" gte="0"/>
      </iconSet>
    </cfRule>
  </conditionalFormatting>
  <conditionalFormatting sqref="CI21">
    <cfRule type="iconSet" priority="1257">
      <iconSet iconSet="3Arrows">
        <cfvo type="percent" val="0"/>
        <cfvo type="formula" val="$CJ$21"/>
        <cfvo type="formula" val="$CJ$21" gte="0"/>
      </iconSet>
    </cfRule>
  </conditionalFormatting>
  <conditionalFormatting sqref="CI22">
    <cfRule type="iconSet" priority="1256">
      <iconSet iconSet="3Arrows">
        <cfvo type="percent" val="0"/>
        <cfvo type="formula" val="$CJ$22"/>
        <cfvo type="formula" val="$CJ$22" gte="0"/>
      </iconSet>
    </cfRule>
  </conditionalFormatting>
  <conditionalFormatting sqref="CI39">
    <cfRule type="iconSet" priority="1255">
      <iconSet iconSet="3Arrows">
        <cfvo type="percent" val="0"/>
        <cfvo type="formula" val="$CJ$39"/>
        <cfvo type="formula" val="$CJ$39" gte="0"/>
      </iconSet>
    </cfRule>
  </conditionalFormatting>
  <conditionalFormatting sqref="CI23">
    <cfRule type="iconSet" priority="1254">
      <iconSet iconSet="3Arrows">
        <cfvo type="percent" val="0"/>
        <cfvo type="formula" val="$CJ$23"/>
        <cfvo type="formula" val="$CJ$23" gte="0"/>
      </iconSet>
    </cfRule>
  </conditionalFormatting>
  <conditionalFormatting sqref="CI24">
    <cfRule type="iconSet" priority="1253">
      <iconSet iconSet="3Arrows">
        <cfvo type="percent" val="0"/>
        <cfvo type="formula" val="$CJ$24"/>
        <cfvo type="formula" val="$CJ$24" gte="0"/>
      </iconSet>
    </cfRule>
  </conditionalFormatting>
  <conditionalFormatting sqref="CI25">
    <cfRule type="iconSet" priority="1252">
      <iconSet iconSet="3Arrows">
        <cfvo type="percent" val="0"/>
        <cfvo type="formula" val="$CJ$25"/>
        <cfvo type="formula" val="$CJ$25" gte="0"/>
      </iconSet>
    </cfRule>
  </conditionalFormatting>
  <conditionalFormatting sqref="CI8">
    <cfRule type="iconSet" priority="1251">
      <iconSet iconSet="3Arrows">
        <cfvo type="percent" val="0"/>
        <cfvo type="formula" val="$CJ$8"/>
        <cfvo type="formula" val="$CJ$8" gte="0"/>
      </iconSet>
    </cfRule>
  </conditionalFormatting>
  <conditionalFormatting sqref="CI52">
    <cfRule type="iconSet" priority="1250">
      <iconSet iconSet="3Arrows">
        <cfvo type="percent" val="0"/>
        <cfvo type="formula" val="$CJ$52"/>
        <cfvo type="formula" val="$CJ$52" gte="0"/>
      </iconSet>
    </cfRule>
  </conditionalFormatting>
  <conditionalFormatting sqref="CI53">
    <cfRule type="iconSet" priority="1249">
      <iconSet iconSet="3Arrows">
        <cfvo type="percent" val="0"/>
        <cfvo type="formula" val="$CJ$53"/>
        <cfvo type="formula" val="$CJ$53" gte="0"/>
      </iconSet>
    </cfRule>
  </conditionalFormatting>
  <conditionalFormatting sqref="CI26">
    <cfRule type="iconSet" priority="1248">
      <iconSet iconSet="3Arrows">
        <cfvo type="percent" val="0"/>
        <cfvo type="formula" val="$CJ$26"/>
        <cfvo type="formula" val="$CJ$26" gte="0"/>
      </iconSet>
    </cfRule>
  </conditionalFormatting>
  <conditionalFormatting sqref="CI9">
    <cfRule type="iconSet" priority="1247">
      <iconSet iconSet="3Arrows">
        <cfvo type="percent" val="0"/>
        <cfvo type="formula" val="$CJ$9"/>
        <cfvo type="formula" val="$CJ$9" gte="0"/>
      </iconSet>
    </cfRule>
  </conditionalFormatting>
  <conditionalFormatting sqref="CI10">
    <cfRule type="iconSet" priority="1246">
      <iconSet iconSet="3Arrows">
        <cfvo type="percent" val="0"/>
        <cfvo type="formula" val="$CJ$10"/>
        <cfvo type="formula" val="$CJ$10" gte="0"/>
      </iconSet>
    </cfRule>
  </conditionalFormatting>
  <conditionalFormatting sqref="CI40">
    <cfRule type="iconSet" priority="1245">
      <iconSet iconSet="3Arrows">
        <cfvo type="percent" val="0"/>
        <cfvo type="formula" val="$CJ$40"/>
        <cfvo type="formula" val="$CJ$40" gte="0"/>
      </iconSet>
    </cfRule>
  </conditionalFormatting>
  <conditionalFormatting sqref="CI11">
    <cfRule type="iconSet" priority="1244">
      <iconSet iconSet="3Arrows">
        <cfvo type="percent" val="0"/>
        <cfvo type="formula" val="$CJ$11"/>
        <cfvo type="formula" val="$CJ$11" gte="0"/>
      </iconSet>
    </cfRule>
  </conditionalFormatting>
  <conditionalFormatting sqref="CI27">
    <cfRule type="iconSet" priority="1243">
      <iconSet iconSet="3Arrows">
        <cfvo type="percent" val="0"/>
        <cfvo type="formula" val="$CJ$27"/>
        <cfvo type="formula" val="$CJ$27" gte="0"/>
      </iconSet>
    </cfRule>
  </conditionalFormatting>
  <conditionalFormatting sqref="CI41">
    <cfRule type="iconSet" priority="1242">
      <iconSet iconSet="3Arrows">
        <cfvo type="percent" val="0"/>
        <cfvo type="formula" val="$CJ$41"/>
        <cfvo type="formula" val="$CJ$41" gte="0"/>
      </iconSet>
    </cfRule>
  </conditionalFormatting>
  <conditionalFormatting sqref="CI12">
    <cfRule type="iconSet" priority="1241">
      <iconSet iconSet="3Arrows">
        <cfvo type="percent" val="0"/>
        <cfvo type="formula" val="$CJ$12"/>
        <cfvo type="formula" val="$CJ$12" gte="0"/>
      </iconSet>
    </cfRule>
  </conditionalFormatting>
  <conditionalFormatting sqref="CI44">
    <cfRule type="iconSet" priority="1240">
      <iconSet iconSet="3Arrows">
        <cfvo type="percent" val="0"/>
        <cfvo type="formula" val="$CJ$44"/>
        <cfvo type="formula" val="$CJ$44" gte="0"/>
      </iconSet>
    </cfRule>
  </conditionalFormatting>
  <conditionalFormatting sqref="CI13">
    <cfRule type="iconSet" priority="1239">
      <iconSet iconSet="3Arrows">
        <cfvo type="percent" val="0"/>
        <cfvo type="formula" val="$CJ$13"/>
        <cfvo type="formula" val="$CJ$13" gte="0"/>
      </iconSet>
    </cfRule>
  </conditionalFormatting>
  <conditionalFormatting sqref="CI45">
    <cfRule type="iconSet" priority="1238">
      <iconSet iconSet="3Arrows">
        <cfvo type="percent" val="0"/>
        <cfvo type="formula" val="$CJ$45"/>
        <cfvo type="formula" val="$CJ$45" gte="0"/>
      </iconSet>
    </cfRule>
  </conditionalFormatting>
  <conditionalFormatting sqref="CI54">
    <cfRule type="iconSet" priority="1237">
      <iconSet iconSet="3Arrows">
        <cfvo type="percent" val="0"/>
        <cfvo type="formula" val="$CJ$54"/>
        <cfvo type="formula" val="$CJ$54" gte="0"/>
      </iconSet>
    </cfRule>
  </conditionalFormatting>
  <conditionalFormatting sqref="CI42">
    <cfRule type="iconSet" priority="1236">
      <iconSet iconSet="3Arrows">
        <cfvo type="percent" val="0"/>
        <cfvo type="formula" val="$CJ$42"/>
        <cfvo type="formula" val="$CJ$42" gte="0"/>
      </iconSet>
    </cfRule>
  </conditionalFormatting>
  <conditionalFormatting sqref="CI43">
    <cfRule type="iconSet" priority="1235">
      <iconSet iconSet="3Arrows">
        <cfvo type="percent" val="0"/>
        <cfvo type="formula" val="$CJ$43"/>
        <cfvo type="formula" val="$CJ$43" gte="0"/>
      </iconSet>
    </cfRule>
  </conditionalFormatting>
  <conditionalFormatting sqref="CI16">
    <cfRule type="iconSet" priority="1234">
      <iconSet iconSet="3Arrows">
        <cfvo type="percent" val="0"/>
        <cfvo type="formula" val="$CJ$16"/>
        <cfvo type="formula" val="$CJ$16" gte="0"/>
      </iconSet>
    </cfRule>
  </conditionalFormatting>
  <conditionalFormatting sqref="CI17">
    <cfRule type="iconSet" priority="1233">
      <iconSet iconSet="3Arrows">
        <cfvo type="percent" val="0"/>
        <cfvo type="formula" val="$CJ$17"/>
        <cfvo type="formula" val="$CJ$17" gte="0"/>
      </iconSet>
    </cfRule>
  </conditionalFormatting>
  <conditionalFormatting sqref="CI29">
    <cfRule type="iconSet" priority="1232">
      <iconSet iconSet="3Arrows">
        <cfvo type="percent" val="0"/>
        <cfvo type="formula" val="$CJ$29"/>
        <cfvo type="formula" val="$CJ$29" gte="0"/>
      </iconSet>
    </cfRule>
  </conditionalFormatting>
  <conditionalFormatting sqref="CI18">
    <cfRule type="iconSet" priority="1231">
      <iconSet iconSet="3Arrows">
        <cfvo type="percent" val="0"/>
        <cfvo type="formula" val="$CJ$18"/>
        <cfvo type="formula" val="$CJ$18" gte="0"/>
      </iconSet>
    </cfRule>
  </conditionalFormatting>
  <conditionalFormatting sqref="CI30">
    <cfRule type="iconSet" priority="1230">
      <iconSet iconSet="3Arrows">
        <cfvo type="percent" val="0"/>
        <cfvo type="formula" val="$CJ$30"/>
        <cfvo type="formula" val="$CJ$30" gte="0"/>
      </iconSet>
    </cfRule>
  </conditionalFormatting>
  <conditionalFormatting sqref="CI31">
    <cfRule type="iconSet" priority="1229">
      <iconSet iconSet="3Arrows">
        <cfvo type="percent" val="0"/>
        <cfvo type="formula" val="$CJ$31"/>
        <cfvo type="formula" val="$CJ$31" gte="0"/>
      </iconSet>
    </cfRule>
  </conditionalFormatting>
  <conditionalFormatting sqref="CI46">
    <cfRule type="iconSet" priority="1228">
      <iconSet iconSet="3Arrows">
        <cfvo type="percent" val="0"/>
        <cfvo type="formula" val="$CJ$46"/>
        <cfvo type="formula" val="$CJ$46" gte="0"/>
      </iconSet>
    </cfRule>
  </conditionalFormatting>
  <conditionalFormatting sqref="CI47">
    <cfRule type="iconSet" priority="1227">
      <iconSet iconSet="3Arrows">
        <cfvo type="percent" val="0"/>
        <cfvo type="formula" val="$CJ$47"/>
        <cfvo type="formula" val="$CJ$47" gte="0"/>
      </iconSet>
    </cfRule>
  </conditionalFormatting>
  <conditionalFormatting sqref="CI32">
    <cfRule type="iconSet" priority="1226">
      <iconSet iconSet="3Arrows">
        <cfvo type="percent" val="0"/>
        <cfvo type="formula" val="$CJ$32"/>
        <cfvo type="formula" val="$CJ$32" gte="0"/>
      </iconSet>
    </cfRule>
  </conditionalFormatting>
  <conditionalFormatting sqref="CI61">
    <cfRule type="iconSet" priority="1225">
      <iconSet iconSet="3Arrows">
        <cfvo type="percent" val="0"/>
        <cfvo type="formula" val="$CJ$61"/>
        <cfvo type="formula" val="$CJ$61" gte="0"/>
      </iconSet>
    </cfRule>
  </conditionalFormatting>
  <conditionalFormatting sqref="CI57">
    <cfRule type="iconSet" priority="1224">
      <iconSet iconSet="3Arrows">
        <cfvo type="percent" val="0"/>
        <cfvo type="formula" val="$CJ$57"/>
        <cfvo type="formula" val="$CJ$57" gte="0"/>
      </iconSet>
    </cfRule>
  </conditionalFormatting>
  <conditionalFormatting sqref="CI34">
    <cfRule type="iconSet" priority="1223">
      <iconSet iconSet="3Arrows">
        <cfvo type="percent" val="0"/>
        <cfvo type="formula" val="$CJ$34"/>
        <cfvo type="formula" val="$CJ$34" gte="0"/>
      </iconSet>
    </cfRule>
  </conditionalFormatting>
  <conditionalFormatting sqref="CI48">
    <cfRule type="iconSet" priority="1222">
      <iconSet iconSet="3Arrows">
        <cfvo type="percent" val="0"/>
        <cfvo type="formula" val="$CJ$48"/>
        <cfvo type="formula" val="$CJ$48" gte="0"/>
      </iconSet>
    </cfRule>
  </conditionalFormatting>
  <conditionalFormatting sqref="CI19">
    <cfRule type="iconSet" priority="1221">
      <iconSet iconSet="3Arrows">
        <cfvo type="percent" val="0"/>
        <cfvo type="formula" val="$CJ$19"/>
        <cfvo type="formula" val="$CJ$19" gte="0"/>
      </iconSet>
    </cfRule>
  </conditionalFormatting>
  <conditionalFormatting sqref="CI35">
    <cfRule type="iconSet" priority="1220">
      <iconSet iconSet="3Arrows">
        <cfvo type="percent" val="0"/>
        <cfvo type="formula" val="$CJ$35"/>
        <cfvo type="formula" val="$CJ$35" gte="0"/>
      </iconSet>
    </cfRule>
  </conditionalFormatting>
  <conditionalFormatting sqref="CI36">
    <cfRule type="iconSet" priority="1219">
      <iconSet iconSet="3Arrows">
        <cfvo type="percent" val="0"/>
        <cfvo type="formula" val="$CJ$36"/>
        <cfvo type="formula" val="$CJ$36" gte="0"/>
      </iconSet>
    </cfRule>
  </conditionalFormatting>
  <conditionalFormatting sqref="BS69">
    <cfRule type="iconSet" priority="1174">
      <iconSet iconSet="3Arrows">
        <cfvo type="percent" val="0"/>
        <cfvo type="formula" val="$BT$69"/>
        <cfvo type="formula" val="$BT$69" gte="0"/>
      </iconSet>
    </cfRule>
  </conditionalFormatting>
  <conditionalFormatting sqref="BS70">
    <cfRule type="iconSet" priority="1173">
      <iconSet iconSet="3Arrows">
        <cfvo type="percent" val="0"/>
        <cfvo type="formula" val="$BT$70"/>
        <cfvo type="formula" val="$BT$70" gte="0"/>
      </iconSet>
    </cfRule>
  </conditionalFormatting>
  <conditionalFormatting sqref="BS71">
    <cfRule type="iconSet" priority="1172">
      <iconSet iconSet="3Arrows">
        <cfvo type="percent" val="0"/>
        <cfvo type="formula" val="$BT$71"/>
        <cfvo type="formula" val="$BT$71" gte="0"/>
      </iconSet>
    </cfRule>
  </conditionalFormatting>
  <conditionalFormatting sqref="BS72">
    <cfRule type="iconSet" priority="1171">
      <iconSet iconSet="3Arrows">
        <cfvo type="percent" val="0"/>
        <cfvo type="formula" val="$BT$72"/>
        <cfvo type="formula" val="$BT$72" gte="0"/>
      </iconSet>
    </cfRule>
  </conditionalFormatting>
  <conditionalFormatting sqref="BS73">
    <cfRule type="iconSet" priority="1170">
      <iconSet iconSet="3Arrows">
        <cfvo type="percent" val="0"/>
        <cfvo type="formula" val="$BT$73"/>
        <cfvo type="formula" val="$BT$73" gte="0"/>
      </iconSet>
    </cfRule>
  </conditionalFormatting>
  <conditionalFormatting sqref="BU69">
    <cfRule type="iconSet" priority="1169">
      <iconSet iconSet="3Arrows">
        <cfvo type="percent" val="0"/>
        <cfvo type="formula" val="$BV$69"/>
        <cfvo type="formula" val="$BV$69" gte="0"/>
      </iconSet>
    </cfRule>
  </conditionalFormatting>
  <conditionalFormatting sqref="BU70">
    <cfRule type="iconSet" priority="1168">
      <iconSet iconSet="3Arrows">
        <cfvo type="percent" val="0"/>
        <cfvo type="formula" val="$BV$70"/>
        <cfvo type="formula" val="$BV$70" gte="0"/>
      </iconSet>
    </cfRule>
  </conditionalFormatting>
  <conditionalFormatting sqref="BU71">
    <cfRule type="iconSet" priority="1167">
      <iconSet iconSet="3Arrows">
        <cfvo type="percent" val="0"/>
        <cfvo type="formula" val="$BV$71"/>
        <cfvo type="formula" val="$BV$71" gte="0"/>
      </iconSet>
    </cfRule>
  </conditionalFormatting>
  <conditionalFormatting sqref="BU72">
    <cfRule type="iconSet" priority="1166">
      <iconSet iconSet="3Arrows">
        <cfvo type="percent" val="0"/>
        <cfvo type="formula" val="$BV$72"/>
        <cfvo type="formula" val="$BV$72" gte="0"/>
      </iconSet>
    </cfRule>
  </conditionalFormatting>
  <conditionalFormatting sqref="BU73">
    <cfRule type="iconSet" priority="1165">
      <iconSet iconSet="3Arrows">
        <cfvo type="percent" val="0"/>
        <cfvo type="formula" val="$BV$73"/>
        <cfvo type="formula" val="$BV$73" gte="0"/>
      </iconSet>
    </cfRule>
  </conditionalFormatting>
  <conditionalFormatting sqref="BW69">
    <cfRule type="iconSet" priority="1164">
      <iconSet iconSet="3Arrows">
        <cfvo type="percent" val="0"/>
        <cfvo type="formula" val="$BX$69"/>
        <cfvo type="formula" val="$BX$69" gte="0"/>
      </iconSet>
    </cfRule>
  </conditionalFormatting>
  <conditionalFormatting sqref="BW70">
    <cfRule type="iconSet" priority="1163">
      <iconSet iconSet="3Arrows">
        <cfvo type="percent" val="0"/>
        <cfvo type="formula" val="$BX$70"/>
        <cfvo type="formula" val="$BX$70" gte="0"/>
      </iconSet>
    </cfRule>
  </conditionalFormatting>
  <conditionalFormatting sqref="BW71">
    <cfRule type="iconSet" priority="1162">
      <iconSet iconSet="3Arrows">
        <cfvo type="percent" val="0"/>
        <cfvo type="formula" val="$BX$71"/>
        <cfvo type="formula" val="$BX$71" gte="0"/>
      </iconSet>
    </cfRule>
  </conditionalFormatting>
  <conditionalFormatting sqref="BW72">
    <cfRule type="iconSet" priority="1161">
      <iconSet iconSet="3Arrows">
        <cfvo type="percent" val="0"/>
        <cfvo type="formula" val="$BX$72"/>
        <cfvo type="formula" val="$BX$72" gte="0"/>
      </iconSet>
    </cfRule>
  </conditionalFormatting>
  <conditionalFormatting sqref="BW73">
    <cfRule type="iconSet" priority="1160">
      <iconSet iconSet="3Arrows">
        <cfvo type="percent" val="0"/>
        <cfvo type="formula" val="$BX$73"/>
        <cfvo type="formula" val="$BX$73" gte="0"/>
      </iconSet>
    </cfRule>
  </conditionalFormatting>
  <conditionalFormatting sqref="BY69">
    <cfRule type="iconSet" priority="1159">
      <iconSet iconSet="3Arrows">
        <cfvo type="percent" val="0"/>
        <cfvo type="formula" val="$BZ$69"/>
        <cfvo type="formula" val="$BZ$69" gte="0"/>
      </iconSet>
    </cfRule>
  </conditionalFormatting>
  <conditionalFormatting sqref="BY70">
    <cfRule type="iconSet" priority="1158">
      <iconSet iconSet="3Arrows">
        <cfvo type="percent" val="0"/>
        <cfvo type="formula" val="$BZ$70"/>
        <cfvo type="formula" val="$BZ$70" gte="0"/>
      </iconSet>
    </cfRule>
  </conditionalFormatting>
  <conditionalFormatting sqref="BY71">
    <cfRule type="iconSet" priority="1157">
      <iconSet iconSet="3Arrows">
        <cfvo type="percent" val="0"/>
        <cfvo type="formula" val="$BZ$71"/>
        <cfvo type="formula" val="$BZ$71" gte="0"/>
      </iconSet>
    </cfRule>
  </conditionalFormatting>
  <conditionalFormatting sqref="BY72">
    <cfRule type="iconSet" priority="1156">
      <iconSet iconSet="3Arrows">
        <cfvo type="percent" val="0"/>
        <cfvo type="formula" val="$BZ$72"/>
        <cfvo type="formula" val="$BZ$72" gte="0"/>
      </iconSet>
    </cfRule>
  </conditionalFormatting>
  <conditionalFormatting sqref="BY73">
    <cfRule type="iconSet" priority="1155">
      <iconSet iconSet="3Arrows">
        <cfvo type="percent" val="0"/>
        <cfvo type="formula" val="$BZ$73"/>
        <cfvo type="formula" val="$BZ$73" gte="0"/>
      </iconSet>
    </cfRule>
  </conditionalFormatting>
  <conditionalFormatting sqref="CA69">
    <cfRule type="iconSet" priority="1154">
      <iconSet iconSet="3Arrows">
        <cfvo type="percent" val="0"/>
        <cfvo type="formula" val="$CB$69"/>
        <cfvo type="formula" val="$CB$69" gte="0"/>
      </iconSet>
    </cfRule>
  </conditionalFormatting>
  <conditionalFormatting sqref="CA70">
    <cfRule type="iconSet" priority="1153">
      <iconSet iconSet="3Arrows">
        <cfvo type="percent" val="0"/>
        <cfvo type="formula" val="$CB$70"/>
        <cfvo type="formula" val="$CB$70" gte="0"/>
      </iconSet>
    </cfRule>
  </conditionalFormatting>
  <conditionalFormatting sqref="CA71">
    <cfRule type="iconSet" priority="1152">
      <iconSet iconSet="3Arrows">
        <cfvo type="percent" val="0"/>
        <cfvo type="formula" val="$CB$71"/>
        <cfvo type="formula" val="$CB$71" gte="0"/>
      </iconSet>
    </cfRule>
  </conditionalFormatting>
  <conditionalFormatting sqref="CA72">
    <cfRule type="iconSet" priority="1151">
      <iconSet iconSet="3Arrows">
        <cfvo type="percent" val="0"/>
        <cfvo type="formula" val="$CB$72"/>
        <cfvo type="formula" val="$CB$72" gte="0"/>
      </iconSet>
    </cfRule>
  </conditionalFormatting>
  <conditionalFormatting sqref="CA73">
    <cfRule type="iconSet" priority="1150">
      <iconSet iconSet="3Arrows">
        <cfvo type="percent" val="0"/>
        <cfvo type="formula" val="$CB$73"/>
        <cfvo type="formula" val="$CB$73" gte="0"/>
      </iconSet>
    </cfRule>
  </conditionalFormatting>
  <conditionalFormatting sqref="CC69">
    <cfRule type="iconSet" priority="1149">
      <iconSet iconSet="3Arrows">
        <cfvo type="percent" val="0"/>
        <cfvo type="formula" val="$CD$69"/>
        <cfvo type="formula" val="$CD$69" gte="0"/>
      </iconSet>
    </cfRule>
  </conditionalFormatting>
  <conditionalFormatting sqref="CC70">
    <cfRule type="iconSet" priority="1148">
      <iconSet iconSet="3Arrows">
        <cfvo type="percent" val="0"/>
        <cfvo type="formula" val="$CD$70"/>
        <cfvo type="formula" val="$CD$70" gte="0"/>
      </iconSet>
    </cfRule>
  </conditionalFormatting>
  <conditionalFormatting sqref="CC71">
    <cfRule type="iconSet" priority="1147">
      <iconSet iconSet="3Arrows">
        <cfvo type="percent" val="0"/>
        <cfvo type="formula" val="$CD$71"/>
        <cfvo type="formula" val="$CD$71" gte="0"/>
      </iconSet>
    </cfRule>
  </conditionalFormatting>
  <conditionalFormatting sqref="CC72">
    <cfRule type="iconSet" priority="1146">
      <iconSet iconSet="3Arrows">
        <cfvo type="percent" val="0"/>
        <cfvo type="formula" val="$CD$72"/>
        <cfvo type="formula" val="$CD$72" gte="0"/>
      </iconSet>
    </cfRule>
  </conditionalFormatting>
  <conditionalFormatting sqref="CC73">
    <cfRule type="iconSet" priority="1145">
      <iconSet iconSet="3Arrows">
        <cfvo type="percent" val="0"/>
        <cfvo type="formula" val="$CD$73"/>
        <cfvo type="formula" val="$CD$73" gte="0"/>
      </iconSet>
    </cfRule>
  </conditionalFormatting>
  <conditionalFormatting sqref="CE69">
    <cfRule type="iconSet" priority="1144">
      <iconSet iconSet="3Arrows">
        <cfvo type="percent" val="0"/>
        <cfvo type="formula" val="$CF$69"/>
        <cfvo type="formula" val="$CF$69" gte="0"/>
      </iconSet>
    </cfRule>
  </conditionalFormatting>
  <conditionalFormatting sqref="CE70">
    <cfRule type="iconSet" priority="1143">
      <iconSet iconSet="3Arrows">
        <cfvo type="percent" val="0"/>
        <cfvo type="formula" val="$CF$70"/>
        <cfvo type="formula" val="$CF$70" gte="0"/>
      </iconSet>
    </cfRule>
  </conditionalFormatting>
  <conditionalFormatting sqref="CE71">
    <cfRule type="iconSet" priority="1142">
      <iconSet iconSet="3Arrows">
        <cfvo type="percent" val="0"/>
        <cfvo type="formula" val="$CF$71"/>
        <cfvo type="formula" val="$CF$71" gte="0"/>
      </iconSet>
    </cfRule>
  </conditionalFormatting>
  <conditionalFormatting sqref="CE72">
    <cfRule type="iconSet" priority="1141">
      <iconSet iconSet="3Arrows">
        <cfvo type="percent" val="0"/>
        <cfvo type="formula" val="$CF$72"/>
        <cfvo type="formula" val="$CF$72" gte="0"/>
      </iconSet>
    </cfRule>
  </conditionalFormatting>
  <conditionalFormatting sqref="CE73">
    <cfRule type="iconSet" priority="1140">
      <iconSet iconSet="3Arrows">
        <cfvo type="percent" val="0"/>
        <cfvo type="formula" val="$CF$73"/>
        <cfvo type="formula" val="$CF$73" gte="0"/>
      </iconSet>
    </cfRule>
  </conditionalFormatting>
  <conditionalFormatting sqref="CG69">
    <cfRule type="iconSet" priority="1139">
      <iconSet iconSet="3Arrows">
        <cfvo type="percent" val="0"/>
        <cfvo type="formula" val="$CH$69"/>
        <cfvo type="formula" val="$CH$69" gte="0"/>
      </iconSet>
    </cfRule>
  </conditionalFormatting>
  <conditionalFormatting sqref="CG70">
    <cfRule type="iconSet" priority="1138">
      <iconSet iconSet="3Arrows">
        <cfvo type="percent" val="0"/>
        <cfvo type="formula" val="$CH$70"/>
        <cfvo type="formula" val="$CH$70" gte="0"/>
      </iconSet>
    </cfRule>
  </conditionalFormatting>
  <conditionalFormatting sqref="CG71">
    <cfRule type="iconSet" priority="1137">
      <iconSet iconSet="3Arrows">
        <cfvo type="percent" val="0"/>
        <cfvo type="formula" val="$CH$71"/>
        <cfvo type="formula" val="$CH$71" gte="0"/>
      </iconSet>
    </cfRule>
  </conditionalFormatting>
  <conditionalFormatting sqref="CG72">
    <cfRule type="iconSet" priority="1136">
      <iconSet iconSet="3Arrows">
        <cfvo type="percent" val="0"/>
        <cfvo type="formula" val="$CH$72"/>
        <cfvo type="formula" val="$CH$72" gte="0"/>
      </iconSet>
    </cfRule>
  </conditionalFormatting>
  <conditionalFormatting sqref="CG73">
    <cfRule type="iconSet" priority="1135">
      <iconSet iconSet="3Arrows">
        <cfvo type="percent" val="0"/>
        <cfvo type="formula" val="$CH$73"/>
        <cfvo type="formula" val="$CH$73" gte="0"/>
      </iconSet>
    </cfRule>
  </conditionalFormatting>
  <conditionalFormatting sqref="CI69">
    <cfRule type="iconSet" priority="1134">
      <iconSet iconSet="3Arrows">
        <cfvo type="percent" val="0"/>
        <cfvo type="formula" val="$CJ$69"/>
        <cfvo type="formula" val="$CJ$69" gte="0"/>
      </iconSet>
    </cfRule>
  </conditionalFormatting>
  <conditionalFormatting sqref="CI70">
    <cfRule type="iconSet" priority="1133">
      <iconSet iconSet="3Arrows">
        <cfvo type="percent" val="0"/>
        <cfvo type="formula" val="$CJ$70"/>
        <cfvo type="formula" val="$CJ$70" gte="0"/>
      </iconSet>
    </cfRule>
  </conditionalFormatting>
  <conditionalFormatting sqref="CI71">
    <cfRule type="iconSet" priority="1132">
      <iconSet iconSet="3Arrows">
        <cfvo type="percent" val="0"/>
        <cfvo type="formula" val="$CJ$71"/>
        <cfvo type="formula" val="$CJ$71" gte="0"/>
      </iconSet>
    </cfRule>
  </conditionalFormatting>
  <conditionalFormatting sqref="CI72">
    <cfRule type="iconSet" priority="1131">
      <iconSet iconSet="3Arrows">
        <cfvo type="percent" val="0"/>
        <cfvo type="formula" val="$CJ$72"/>
        <cfvo type="formula" val="$CJ$72" gte="0"/>
      </iconSet>
    </cfRule>
  </conditionalFormatting>
  <conditionalFormatting sqref="CI73">
    <cfRule type="iconSet" priority="1130">
      <iconSet iconSet="3Arrows">
        <cfvo type="percent" val="0"/>
        <cfvo type="formula" val="$CJ$73"/>
        <cfvo type="formula" val="$CJ$73" gte="0"/>
      </iconSet>
    </cfRule>
  </conditionalFormatting>
  <conditionalFormatting sqref="J6">
    <cfRule type="iconSet" priority="1124">
      <iconSet iconSet="3Arrows">
        <cfvo type="percent" val="0"/>
        <cfvo type="formula" val="$K$6"/>
        <cfvo type="formula" val="$K$6" gte="0"/>
      </iconSet>
    </cfRule>
  </conditionalFormatting>
  <conditionalFormatting sqref="J37">
    <cfRule type="iconSet" priority="1123">
      <iconSet iconSet="3Arrows">
        <cfvo type="percent" val="0"/>
        <cfvo type="formula" val="$K$37"/>
        <cfvo type="formula" val="$K$37" gte="0"/>
      </iconSet>
    </cfRule>
  </conditionalFormatting>
  <conditionalFormatting sqref="J20">
    <cfRule type="iconSet" priority="1122">
      <iconSet iconSet="3Arrows">
        <cfvo type="percent" val="0"/>
        <cfvo type="formula" val="$K$20"/>
        <cfvo type="formula" val="$K$20" gte="0"/>
      </iconSet>
    </cfRule>
  </conditionalFormatting>
  <conditionalFormatting sqref="J38">
    <cfRule type="iconSet" priority="1121">
      <iconSet iconSet="3Arrows">
        <cfvo type="percent" val="0"/>
        <cfvo type="formula" val="$K$38"/>
        <cfvo type="formula" val="$K$38" gte="0"/>
      </iconSet>
    </cfRule>
  </conditionalFormatting>
  <conditionalFormatting sqref="J49">
    <cfRule type="iconSet" priority="1120">
      <iconSet iconSet="3Arrows">
        <cfvo type="percent" val="0"/>
        <cfvo type="formula" val="$K$49"/>
        <cfvo type="formula" val="$K$49" gte="0"/>
      </iconSet>
    </cfRule>
  </conditionalFormatting>
  <conditionalFormatting sqref="J58">
    <cfRule type="iconSet" priority="1119">
      <iconSet iconSet="3Arrows">
        <cfvo type="percent" val="0"/>
        <cfvo type="formula" val="$K$58"/>
        <cfvo type="formula" val="$K$58" gte="0"/>
      </iconSet>
    </cfRule>
  </conditionalFormatting>
  <conditionalFormatting sqref="J7">
    <cfRule type="iconSet" priority="1118">
      <iconSet iconSet="3Arrows">
        <cfvo type="percent" val="0"/>
        <cfvo type="formula" val="$K$7"/>
        <cfvo type="formula" val="$K$7" gte="0"/>
      </iconSet>
    </cfRule>
  </conditionalFormatting>
  <conditionalFormatting sqref="J21">
    <cfRule type="iconSet" priority="1117">
      <iconSet iconSet="3Arrows">
        <cfvo type="percent" val="0"/>
        <cfvo type="formula" val="$K$21"/>
        <cfvo type="formula" val="$K$21" gte="0"/>
      </iconSet>
    </cfRule>
  </conditionalFormatting>
  <conditionalFormatting sqref="J59">
    <cfRule type="iconSet" priority="1116">
      <iconSet iconSet="3Arrows">
        <cfvo type="percent" val="0"/>
        <cfvo type="formula" val="$K$59"/>
        <cfvo type="formula" val="$K$59" gte="0"/>
      </iconSet>
    </cfRule>
  </conditionalFormatting>
  <conditionalFormatting sqref="J50">
    <cfRule type="iconSet" priority="1115">
      <iconSet iconSet="3Arrows">
        <cfvo type="percent" val="0"/>
        <cfvo type="formula" val="$K$50"/>
        <cfvo type="formula" val="$K$50" gte="0"/>
      </iconSet>
    </cfRule>
  </conditionalFormatting>
  <conditionalFormatting sqref="J22">
    <cfRule type="iconSet" priority="1114">
      <iconSet iconSet="3Arrows">
        <cfvo type="percent" val="0"/>
        <cfvo type="formula" val="$K$22"/>
        <cfvo type="formula" val="$K$22" gte="0"/>
      </iconSet>
    </cfRule>
  </conditionalFormatting>
  <conditionalFormatting sqref="J39">
    <cfRule type="iconSet" priority="1113">
      <iconSet iconSet="3Arrows">
        <cfvo type="percent" val="0"/>
        <cfvo type="formula" val="$K$39"/>
        <cfvo type="formula" val="$K$39" gte="0"/>
      </iconSet>
    </cfRule>
  </conditionalFormatting>
  <conditionalFormatting sqref="J51">
    <cfRule type="iconSet" priority="1112">
      <iconSet iconSet="3Arrows">
        <cfvo type="percent" val="0"/>
        <cfvo type="formula" val="$K$51"/>
        <cfvo type="formula" val="$K$51" gte="0"/>
      </iconSet>
    </cfRule>
  </conditionalFormatting>
  <conditionalFormatting sqref="J23">
    <cfRule type="iconSet" priority="1111">
      <iconSet iconSet="3Arrows">
        <cfvo type="percent" val="0"/>
        <cfvo type="formula" val="$K$23"/>
        <cfvo type="formula" val="$K$23" gte="0"/>
      </iconSet>
    </cfRule>
  </conditionalFormatting>
  <conditionalFormatting sqref="J24">
    <cfRule type="iconSet" priority="1110">
      <iconSet iconSet="3Arrows">
        <cfvo type="percent" val="0"/>
        <cfvo type="formula" val="$K$24"/>
        <cfvo type="formula" val="$K$24" gte="0"/>
      </iconSet>
    </cfRule>
  </conditionalFormatting>
  <conditionalFormatting sqref="J25">
    <cfRule type="iconSet" priority="1109">
      <iconSet iconSet="3Arrows">
        <cfvo type="percent" val="0"/>
        <cfvo type="formula" val="$K$25"/>
        <cfvo type="formula" val="$K$25" gte="0"/>
      </iconSet>
    </cfRule>
  </conditionalFormatting>
  <conditionalFormatting sqref="J8">
    <cfRule type="iconSet" priority="1108">
      <iconSet iconSet="3Arrows">
        <cfvo type="percent" val="0"/>
        <cfvo type="formula" val="$K$8"/>
        <cfvo type="formula" val="$K$8" gte="0"/>
      </iconSet>
    </cfRule>
  </conditionalFormatting>
  <conditionalFormatting sqref="J52">
    <cfRule type="iconSet" priority="1107">
      <iconSet iconSet="3Arrows">
        <cfvo type="percent" val="0"/>
        <cfvo type="formula" val="$K$52"/>
        <cfvo type="formula" val="$K$52" gte="0"/>
      </iconSet>
    </cfRule>
  </conditionalFormatting>
  <conditionalFormatting sqref="J53">
    <cfRule type="iconSet" priority="1106">
      <iconSet iconSet="3Arrows">
        <cfvo type="percent" val="0"/>
        <cfvo type="formula" val="$K$53"/>
        <cfvo type="formula" val="$K$53" gte="0"/>
      </iconSet>
    </cfRule>
  </conditionalFormatting>
  <conditionalFormatting sqref="J26">
    <cfRule type="iconSet" priority="1105">
      <iconSet iconSet="3Arrows">
        <cfvo type="percent" val="0"/>
        <cfvo type="formula" val="$K$26"/>
        <cfvo type="formula" val="$K$26" gte="0"/>
      </iconSet>
    </cfRule>
  </conditionalFormatting>
  <conditionalFormatting sqref="J9">
    <cfRule type="iconSet" priority="1104">
      <iconSet iconSet="3Arrows">
        <cfvo type="percent" val="0"/>
        <cfvo type="formula" val="$K$9"/>
        <cfvo type="formula" val="$K$9" gte="0"/>
      </iconSet>
    </cfRule>
  </conditionalFormatting>
  <conditionalFormatting sqref="BS14">
    <cfRule type="iconSet" priority="1632">
      <iconSet iconSet="3Arrows">
        <cfvo type="percent" val="0"/>
        <cfvo type="formula" val="$BT$14"/>
        <cfvo type="formula" val="$BT$14" gte="0"/>
      </iconSet>
    </cfRule>
  </conditionalFormatting>
  <conditionalFormatting sqref="BU14">
    <cfRule type="iconSet" priority="1633">
      <iconSet iconSet="3Arrows">
        <cfvo type="percent" val="0"/>
        <cfvo type="formula" val="$BV$14"/>
        <cfvo type="formula" val="$BV$14" gte="0"/>
      </iconSet>
    </cfRule>
  </conditionalFormatting>
  <conditionalFormatting sqref="BW14">
    <cfRule type="iconSet" priority="1634">
      <iconSet iconSet="3Arrows">
        <cfvo type="percent" val="0"/>
        <cfvo type="formula" val="$BX$14"/>
        <cfvo type="formula" val="$BX$14" gte="0"/>
      </iconSet>
    </cfRule>
  </conditionalFormatting>
  <conditionalFormatting sqref="BY14">
    <cfRule type="iconSet" priority="1635">
      <iconSet iconSet="3Arrows">
        <cfvo type="percent" val="0"/>
        <cfvo type="formula" val="$BZ$14"/>
        <cfvo type="formula" val="$BZ$14" gte="0"/>
      </iconSet>
    </cfRule>
  </conditionalFormatting>
  <conditionalFormatting sqref="CA14">
    <cfRule type="iconSet" priority="1636">
      <iconSet iconSet="3Arrows">
        <cfvo type="percent" val="0"/>
        <cfvo type="formula" val="$CB$14"/>
        <cfvo type="formula" val="$CB$14" gte="0"/>
      </iconSet>
    </cfRule>
  </conditionalFormatting>
  <conditionalFormatting sqref="CC14">
    <cfRule type="iconSet" priority="1637">
      <iconSet iconSet="3Arrows">
        <cfvo type="percent" val="0"/>
        <cfvo type="formula" val="$CD$14"/>
        <cfvo type="formula" val="$CD$14" gte="0"/>
      </iconSet>
    </cfRule>
  </conditionalFormatting>
  <conditionalFormatting sqref="CE14">
    <cfRule type="iconSet" priority="1638">
      <iconSet iconSet="3Arrows">
        <cfvo type="percent" val="0"/>
        <cfvo type="formula" val="$CF$14"/>
        <cfvo type="formula" val="$CF$14" gte="0"/>
      </iconSet>
    </cfRule>
  </conditionalFormatting>
  <conditionalFormatting sqref="CG14">
    <cfRule type="iconSet" priority="1639">
      <iconSet iconSet="3Arrows">
        <cfvo type="percent" val="0"/>
        <cfvo type="formula" val="$CH$14"/>
        <cfvo type="formula" val="$CH$14" gte="0"/>
      </iconSet>
    </cfRule>
  </conditionalFormatting>
  <conditionalFormatting sqref="CI14">
    <cfRule type="iconSet" priority="1640">
      <iconSet iconSet="3Arrows">
        <cfvo type="percent" val="0"/>
        <cfvo type="formula" val="$CJ$14"/>
        <cfvo type="formula" val="$CJ$14" gte="0"/>
      </iconSet>
    </cfRule>
  </conditionalFormatting>
  <conditionalFormatting sqref="J10">
    <cfRule type="iconSet" priority="1103">
      <iconSet iconSet="3Arrows">
        <cfvo type="percent" val="0"/>
        <cfvo type="formula" val="$K$10"/>
        <cfvo type="formula" val="$K$10" gte="0"/>
      </iconSet>
    </cfRule>
  </conditionalFormatting>
  <conditionalFormatting sqref="J11">
    <cfRule type="iconSet" priority="1102">
      <iconSet iconSet="3Arrows">
        <cfvo type="percent" val="0"/>
        <cfvo type="formula" val="$K$11"/>
        <cfvo type="formula" val="$K$11" gte="0"/>
      </iconSet>
    </cfRule>
  </conditionalFormatting>
  <conditionalFormatting sqref="J27">
    <cfRule type="iconSet" priority="1101">
      <iconSet iconSet="3Arrows">
        <cfvo type="percent" val="0"/>
        <cfvo type="formula" val="$K$27"/>
        <cfvo type="formula" val="$K$27" gte="0"/>
      </iconSet>
    </cfRule>
  </conditionalFormatting>
  <conditionalFormatting sqref="J40">
    <cfRule type="iconSet" priority="1100">
      <iconSet iconSet="3Arrows">
        <cfvo type="percent" val="0"/>
        <cfvo type="formula" val="$K$40"/>
        <cfvo type="formula" val="$K$40" gte="0"/>
      </iconSet>
    </cfRule>
  </conditionalFormatting>
  <conditionalFormatting sqref="J41">
    <cfRule type="iconSet" priority="1099">
      <iconSet iconSet="3Arrows">
        <cfvo type="percent" val="0"/>
        <cfvo type="formula" val="$K$41"/>
        <cfvo type="formula" val="$K$41" gte="0"/>
      </iconSet>
    </cfRule>
  </conditionalFormatting>
  <conditionalFormatting sqref="J12">
    <cfRule type="iconSet" priority="1098">
      <iconSet iconSet="3Arrows">
        <cfvo type="percent" val="0"/>
        <cfvo type="formula" val="$K$12"/>
        <cfvo type="formula" val="$K$12" gte="0"/>
      </iconSet>
    </cfRule>
  </conditionalFormatting>
  <conditionalFormatting sqref="J13">
    <cfRule type="iconSet" priority="1097">
      <iconSet iconSet="3Arrows">
        <cfvo type="percent" val="0"/>
        <cfvo type="formula" val="$K$13"/>
        <cfvo type="formula" val="$K$13" gte="0"/>
      </iconSet>
    </cfRule>
  </conditionalFormatting>
  <conditionalFormatting sqref="J44">
    <cfRule type="iconSet" priority="1096">
      <iconSet iconSet="3Arrows">
        <cfvo type="percent" val="0"/>
        <cfvo type="formula" val="$K$44"/>
        <cfvo type="formula" val="$K$44" gte="0"/>
      </iconSet>
    </cfRule>
  </conditionalFormatting>
  <conditionalFormatting sqref="J14">
    <cfRule type="iconSet" priority="1095">
      <iconSet iconSet="3Arrows">
        <cfvo type="percent" val="0"/>
        <cfvo type="formula" val="$K$14"/>
        <cfvo type="formula" val="$K$14" gte="0"/>
      </iconSet>
    </cfRule>
  </conditionalFormatting>
  <conditionalFormatting sqref="J45">
    <cfRule type="iconSet" priority="1094">
      <iconSet iconSet="3Arrows">
        <cfvo type="percent" val="0"/>
        <cfvo type="formula" val="$K$45"/>
        <cfvo type="formula" val="$K$45" gte="0"/>
      </iconSet>
    </cfRule>
  </conditionalFormatting>
  <conditionalFormatting sqref="J54">
    <cfRule type="iconSet" priority="1093">
      <iconSet iconSet="3Arrows">
        <cfvo type="percent" val="0"/>
        <cfvo type="formula" val="$K$54"/>
        <cfvo type="formula" val="$K$54" gte="0"/>
      </iconSet>
    </cfRule>
  </conditionalFormatting>
  <conditionalFormatting sqref="J42">
    <cfRule type="iconSet" priority="1092">
      <iconSet iconSet="3Arrows">
        <cfvo type="percent" val="0"/>
        <cfvo type="formula" val="$K$42"/>
        <cfvo type="formula" val="$K$42" gte="0"/>
      </iconSet>
    </cfRule>
  </conditionalFormatting>
  <conditionalFormatting sqref="J15">
    <cfRule type="iconSet" priority="1091">
      <iconSet iconSet="3Arrows">
        <cfvo type="percent" val="0"/>
        <cfvo type="formula" val="$K$15"/>
        <cfvo type="formula" val="$K$15" gte="0"/>
      </iconSet>
    </cfRule>
  </conditionalFormatting>
  <conditionalFormatting sqref="J43">
    <cfRule type="iconSet" priority="1090">
      <iconSet iconSet="3Arrows">
        <cfvo type="percent" val="0"/>
        <cfvo type="formula" val="$K$43"/>
        <cfvo type="formula" val="$K$43" gte="0"/>
      </iconSet>
    </cfRule>
  </conditionalFormatting>
  <conditionalFormatting sqref="J16">
    <cfRule type="iconSet" priority="1089">
      <iconSet iconSet="3Arrows">
        <cfvo type="percent" val="0"/>
        <cfvo type="formula" val="$K$16"/>
        <cfvo type="formula" val="$K$16" gte="0"/>
      </iconSet>
    </cfRule>
  </conditionalFormatting>
  <conditionalFormatting sqref="J17">
    <cfRule type="iconSet" priority="1088">
      <iconSet iconSet="3Arrows">
        <cfvo type="percent" val="0"/>
        <cfvo type="formula" val="$K$17"/>
        <cfvo type="formula" val="$K$17" gte="0"/>
      </iconSet>
    </cfRule>
  </conditionalFormatting>
  <conditionalFormatting sqref="J29">
    <cfRule type="iconSet" priority="1087">
      <iconSet iconSet="3Arrows">
        <cfvo type="percent" val="0"/>
        <cfvo type="formula" val="$K$29"/>
        <cfvo type="formula" val="$K$29" gte="0"/>
      </iconSet>
    </cfRule>
  </conditionalFormatting>
  <conditionalFormatting sqref="J55">
    <cfRule type="iconSet" priority="1086">
      <iconSet iconSet="3Arrows">
        <cfvo type="percent" val="0"/>
        <cfvo type="formula" val="$K$55"/>
        <cfvo type="formula" val="$K$55" gte="0"/>
      </iconSet>
    </cfRule>
  </conditionalFormatting>
  <conditionalFormatting sqref="J28">
    <cfRule type="iconSet" priority="1085">
      <iconSet iconSet="3Arrows">
        <cfvo type="percent" val="0"/>
        <cfvo type="formula" val="$K$28"/>
        <cfvo type="formula" val="$K$28" gte="0"/>
      </iconSet>
    </cfRule>
  </conditionalFormatting>
  <conditionalFormatting sqref="J18">
    <cfRule type="iconSet" priority="1084">
      <iconSet iconSet="3Arrows">
        <cfvo type="percent" val="0"/>
        <cfvo type="formula" val="$K$18"/>
        <cfvo type="formula" val="$K$18" gte="0"/>
      </iconSet>
    </cfRule>
  </conditionalFormatting>
  <conditionalFormatting sqref="J56">
    <cfRule type="iconSet" priority="1083">
      <iconSet iconSet="3Arrows">
        <cfvo type="percent" val="0"/>
        <cfvo type="formula" val="$K$56"/>
        <cfvo type="formula" val="$K$56" gte="0"/>
      </iconSet>
    </cfRule>
  </conditionalFormatting>
  <conditionalFormatting sqref="J30">
    <cfRule type="iconSet" priority="1082">
      <iconSet iconSet="3Arrows">
        <cfvo type="percent" val="0"/>
        <cfvo type="formula" val="$K$30"/>
        <cfvo type="formula" val="$K$30" gte="0"/>
      </iconSet>
    </cfRule>
  </conditionalFormatting>
  <conditionalFormatting sqref="J31">
    <cfRule type="iconSet" priority="1081">
      <iconSet iconSet="3Arrows">
        <cfvo type="percent" val="0"/>
        <cfvo type="formula" val="$K$31"/>
        <cfvo type="formula" val="$K$31" gte="0"/>
      </iconSet>
    </cfRule>
  </conditionalFormatting>
  <conditionalFormatting sqref="J46">
    <cfRule type="iconSet" priority="1080">
      <iconSet iconSet="3Arrows">
        <cfvo type="percent" val="0"/>
        <cfvo type="formula" val="$K$46"/>
        <cfvo type="formula" val="$K$46" gte="0"/>
      </iconSet>
    </cfRule>
  </conditionalFormatting>
  <conditionalFormatting sqref="J47">
    <cfRule type="iconSet" priority="1079">
      <iconSet iconSet="3Arrows">
        <cfvo type="percent" val="0"/>
        <cfvo type="formula" val="$K$47"/>
        <cfvo type="formula" val="$K$47" gte="0"/>
      </iconSet>
    </cfRule>
  </conditionalFormatting>
  <conditionalFormatting sqref="J32">
    <cfRule type="iconSet" priority="1078">
      <iconSet iconSet="3Arrows">
        <cfvo type="percent" val="0"/>
        <cfvo type="formula" val="$K$32"/>
        <cfvo type="formula" val="$K$32" gte="0"/>
      </iconSet>
    </cfRule>
  </conditionalFormatting>
  <conditionalFormatting sqref="J60">
    <cfRule type="iconSet" priority="1077">
      <iconSet iconSet="3Arrows">
        <cfvo type="percent" val="0"/>
        <cfvo type="formula" val="$K$60"/>
        <cfvo type="formula" val="$K$60" gte="0"/>
      </iconSet>
    </cfRule>
  </conditionalFormatting>
  <conditionalFormatting sqref="J61">
    <cfRule type="iconSet" priority="1076">
      <iconSet iconSet="3Arrows">
        <cfvo type="percent" val="0"/>
        <cfvo type="formula" val="$K$61"/>
        <cfvo type="formula" val="$K$61" gte="0"/>
      </iconSet>
    </cfRule>
  </conditionalFormatting>
  <conditionalFormatting sqref="J57">
    <cfRule type="iconSet" priority="1075">
      <iconSet iconSet="3Arrows">
        <cfvo type="percent" val="0"/>
        <cfvo type="formula" val="$K$57"/>
        <cfvo type="formula" val="$K$57" gte="0"/>
      </iconSet>
    </cfRule>
  </conditionalFormatting>
  <conditionalFormatting sqref="J36">
    <cfRule type="iconSet" priority="1074">
      <iconSet iconSet="3Arrows">
        <cfvo type="percent" val="0"/>
        <cfvo type="formula" val="$K$36"/>
        <cfvo type="formula" val="$K$36" gte="0"/>
      </iconSet>
    </cfRule>
  </conditionalFormatting>
  <conditionalFormatting sqref="J62">
    <cfRule type="iconSet" priority="1073">
      <iconSet iconSet="3Arrows">
        <cfvo type="percent" val="0"/>
        <cfvo type="formula" val="$K$62"/>
        <cfvo type="formula" val="$K$62" gte="0"/>
      </iconSet>
    </cfRule>
  </conditionalFormatting>
  <conditionalFormatting sqref="J33">
    <cfRule type="iconSet" priority="1072">
      <iconSet iconSet="3Arrows">
        <cfvo type="percent" val="0"/>
        <cfvo type="formula" val="$K$33"/>
        <cfvo type="formula" val="$K$33" gte="0"/>
      </iconSet>
    </cfRule>
  </conditionalFormatting>
  <conditionalFormatting sqref="J34">
    <cfRule type="iconSet" priority="1071">
      <iconSet iconSet="3Arrows">
        <cfvo type="percent" val="0"/>
        <cfvo type="formula" val="$K$34"/>
        <cfvo type="formula" val="$K$34" gte="0"/>
      </iconSet>
    </cfRule>
  </conditionalFormatting>
  <conditionalFormatting sqref="J48">
    <cfRule type="iconSet" priority="1070">
      <iconSet iconSet="3Arrows">
        <cfvo type="percent" val="0"/>
        <cfvo type="formula" val="$K$48"/>
        <cfvo type="formula" val="$K$48" gte="0"/>
      </iconSet>
    </cfRule>
  </conditionalFormatting>
  <conditionalFormatting sqref="J19">
    <cfRule type="iconSet" priority="1069">
      <iconSet iconSet="3Arrows">
        <cfvo type="percent" val="0"/>
        <cfvo type="formula" val="$K$19"/>
        <cfvo type="formula" val="$K$19" gte="0"/>
      </iconSet>
    </cfRule>
  </conditionalFormatting>
  <conditionalFormatting sqref="J35">
    <cfRule type="iconSet" priority="1068">
      <iconSet iconSet="3Arrows">
        <cfvo type="percent" val="0"/>
        <cfvo type="formula" val="$K$35"/>
        <cfvo type="formula" val="$K$35" gte="0"/>
      </iconSet>
    </cfRule>
  </conditionalFormatting>
  <conditionalFormatting sqref="J69">
    <cfRule type="iconSet" priority="1067">
      <iconSet iconSet="3Arrows">
        <cfvo type="percent" val="0"/>
        <cfvo type="formula" val="$K$69"/>
        <cfvo type="formula" val="$K$69" gte="0"/>
      </iconSet>
    </cfRule>
  </conditionalFormatting>
  <conditionalFormatting sqref="J70">
    <cfRule type="iconSet" priority="1066">
      <iconSet iconSet="3Arrows">
        <cfvo type="percent" val="0"/>
        <cfvo type="formula" val="$K$70"/>
        <cfvo type="formula" val="$K$70" gte="0"/>
      </iconSet>
    </cfRule>
  </conditionalFormatting>
  <conditionalFormatting sqref="J71">
    <cfRule type="iconSet" priority="1065">
      <iconSet iconSet="3Arrows">
        <cfvo type="percent" val="0"/>
        <cfvo type="formula" val="$K$71"/>
        <cfvo type="formula" val="$K$71" gte="0"/>
      </iconSet>
    </cfRule>
  </conditionalFormatting>
  <conditionalFormatting sqref="J72">
    <cfRule type="iconSet" priority="1064">
      <iconSet iconSet="3Arrows">
        <cfvo type="percent" val="0"/>
        <cfvo type="formula" val="$K$72"/>
        <cfvo type="formula" val="$K$72" gte="0"/>
      </iconSet>
    </cfRule>
  </conditionalFormatting>
  <conditionalFormatting sqref="J73">
    <cfRule type="iconSet" priority="1063">
      <iconSet iconSet="3Arrows">
        <cfvo type="percent" val="0"/>
        <cfvo type="formula" val="$K$73"/>
        <cfvo type="formula" val="$K$73" gte="0"/>
      </iconSet>
    </cfRule>
  </conditionalFormatting>
  <conditionalFormatting sqref="BN6">
    <cfRule type="iconSet" priority="1062">
      <iconSet iconSet="3Arrows">
        <cfvo type="percent" val="0"/>
        <cfvo type="formula" val="$BO$6"/>
        <cfvo type="formula" val="$BO$6" gte="0"/>
      </iconSet>
    </cfRule>
  </conditionalFormatting>
  <conditionalFormatting sqref="BN37">
    <cfRule type="iconSet" priority="1061">
      <iconSet iconSet="3Arrows">
        <cfvo type="percent" val="0"/>
        <cfvo type="formula" val="$BO$37"/>
        <cfvo type="formula" val="$BO$37" gte="0"/>
      </iconSet>
    </cfRule>
  </conditionalFormatting>
  <conditionalFormatting sqref="BN20">
    <cfRule type="iconSet" priority="1060">
      <iconSet iconSet="3Arrows">
        <cfvo type="percent" val="0"/>
        <cfvo type="formula" val="$BO$20"/>
        <cfvo type="formula" val="$BO$20" gte="0"/>
      </iconSet>
    </cfRule>
  </conditionalFormatting>
  <conditionalFormatting sqref="BN38">
    <cfRule type="iconSet" priority="1059">
      <iconSet iconSet="3Arrows">
        <cfvo type="percent" val="0"/>
        <cfvo type="formula" val="$BO$38"/>
        <cfvo type="formula" val="$BO$38" gte="0"/>
      </iconSet>
    </cfRule>
  </conditionalFormatting>
  <conditionalFormatting sqref="BN49">
    <cfRule type="iconSet" priority="1058">
      <iconSet iconSet="3Arrows">
        <cfvo type="percent" val="0"/>
        <cfvo type="formula" val="$BO$49"/>
        <cfvo type="formula" val="$BO$49" gte="0"/>
      </iconSet>
    </cfRule>
  </conditionalFormatting>
  <conditionalFormatting sqref="BN58">
    <cfRule type="iconSet" priority="1057">
      <iconSet iconSet="3Arrows">
        <cfvo type="percent" val="0"/>
        <cfvo type="formula" val="$BO$58"/>
        <cfvo type="formula" val="$BO$58" gte="0"/>
      </iconSet>
    </cfRule>
  </conditionalFormatting>
  <conditionalFormatting sqref="BN7">
    <cfRule type="iconSet" priority="1056">
      <iconSet iconSet="3Arrows">
        <cfvo type="percent" val="0"/>
        <cfvo type="formula" val="$BO$7"/>
        <cfvo type="formula" val="$BO$7" gte="0"/>
      </iconSet>
    </cfRule>
  </conditionalFormatting>
  <conditionalFormatting sqref="BN21">
    <cfRule type="iconSet" priority="1055">
      <iconSet iconSet="3Arrows">
        <cfvo type="percent" val="0"/>
        <cfvo type="formula" val="$BO$21"/>
        <cfvo type="formula" val="$BO$21" gte="0"/>
      </iconSet>
    </cfRule>
  </conditionalFormatting>
  <conditionalFormatting sqref="BN59">
    <cfRule type="iconSet" priority="1054">
      <iconSet iconSet="3Arrows">
        <cfvo type="percent" val="0"/>
        <cfvo type="formula" val="$BO$59"/>
        <cfvo type="formula" val="$BO$59" gte="0"/>
      </iconSet>
    </cfRule>
  </conditionalFormatting>
  <conditionalFormatting sqref="BN50">
    <cfRule type="iconSet" priority="1053">
      <iconSet iconSet="3Arrows">
        <cfvo type="percent" val="0"/>
        <cfvo type="formula" val="$BO$50"/>
        <cfvo type="formula" val="$BO$50" gte="0"/>
      </iconSet>
    </cfRule>
  </conditionalFormatting>
  <conditionalFormatting sqref="BN22">
    <cfRule type="iconSet" priority="1052">
      <iconSet iconSet="3Arrows">
        <cfvo type="percent" val="0"/>
        <cfvo type="formula" val="$BO$22"/>
        <cfvo type="formula" val="$BO$22" gte="0"/>
      </iconSet>
    </cfRule>
  </conditionalFormatting>
  <conditionalFormatting sqref="BN39">
    <cfRule type="iconSet" priority="1051">
      <iconSet iconSet="3Arrows">
        <cfvo type="percent" val="0"/>
        <cfvo type="formula" val="$BO$39"/>
        <cfvo type="formula" val="$BO$39" gte="0"/>
      </iconSet>
    </cfRule>
  </conditionalFormatting>
  <conditionalFormatting sqref="BN51">
    <cfRule type="iconSet" priority="1050">
      <iconSet iconSet="3Arrows">
        <cfvo type="percent" val="0"/>
        <cfvo type="formula" val="$BO$51"/>
        <cfvo type="formula" val="$BO$51" gte="0"/>
      </iconSet>
    </cfRule>
  </conditionalFormatting>
  <conditionalFormatting sqref="BN23">
    <cfRule type="iconSet" priority="1049">
      <iconSet iconSet="3Arrows">
        <cfvo type="percent" val="0"/>
        <cfvo type="formula" val="$BO$23"/>
        <cfvo type="formula" val="$BO$23" gte="0"/>
      </iconSet>
    </cfRule>
  </conditionalFormatting>
  <conditionalFormatting sqref="BN24">
    <cfRule type="iconSet" priority="1048">
      <iconSet iconSet="3Arrows">
        <cfvo type="percent" val="0"/>
        <cfvo type="formula" val="$BO$24"/>
        <cfvo type="formula" val="$BO$24" gte="0"/>
      </iconSet>
    </cfRule>
  </conditionalFormatting>
  <conditionalFormatting sqref="BN25">
    <cfRule type="iconSet" priority="1047">
      <iconSet iconSet="3Arrows">
        <cfvo type="percent" val="0"/>
        <cfvo type="formula" val="$BO$25"/>
        <cfvo type="formula" val="$BO$25" gte="0"/>
      </iconSet>
    </cfRule>
  </conditionalFormatting>
  <conditionalFormatting sqref="BN8">
    <cfRule type="iconSet" priority="1046">
      <iconSet iconSet="3Arrows">
        <cfvo type="percent" val="0"/>
        <cfvo type="formula" val="$BO$8"/>
        <cfvo type="formula" val="$BO$8" gte="0"/>
      </iconSet>
    </cfRule>
  </conditionalFormatting>
  <conditionalFormatting sqref="BN52">
    <cfRule type="iconSet" priority="1045">
      <iconSet iconSet="3Arrows">
        <cfvo type="percent" val="0"/>
        <cfvo type="formula" val="$BO$52"/>
        <cfvo type="formula" val="$BO$52" gte="0"/>
      </iconSet>
    </cfRule>
  </conditionalFormatting>
  <conditionalFormatting sqref="BN53">
    <cfRule type="iconSet" priority="1044">
      <iconSet iconSet="3Arrows">
        <cfvo type="percent" val="0"/>
        <cfvo type="formula" val="$BO$53"/>
        <cfvo type="formula" val="$BO$53" gte="0"/>
      </iconSet>
    </cfRule>
  </conditionalFormatting>
  <conditionalFormatting sqref="BN9">
    <cfRule type="iconSet" priority="1043">
      <iconSet iconSet="3Arrows">
        <cfvo type="percent" val="0"/>
        <cfvo type="formula" val="$BO$9"/>
        <cfvo type="formula" val="$BO$9" gte="0"/>
      </iconSet>
    </cfRule>
  </conditionalFormatting>
  <conditionalFormatting sqref="BN10">
    <cfRule type="iconSet" priority="1042">
      <iconSet iconSet="3Arrows">
        <cfvo type="percent" val="0"/>
        <cfvo type="formula" val="$BO$10"/>
        <cfvo type="formula" val="$BO$10" gte="0"/>
      </iconSet>
    </cfRule>
  </conditionalFormatting>
  <conditionalFormatting sqref="BN26">
    <cfRule type="iconSet" priority="1041">
      <iconSet iconSet="3Arrows">
        <cfvo type="percent" val="0"/>
        <cfvo type="formula" val="$BO$26"/>
        <cfvo type="formula" val="$BO$26" gte="0"/>
      </iconSet>
    </cfRule>
  </conditionalFormatting>
  <conditionalFormatting sqref="BN11">
    <cfRule type="iconSet" priority="1040">
      <iconSet iconSet="3Arrows">
        <cfvo type="percent" val="0"/>
        <cfvo type="formula" val="$BO$11"/>
        <cfvo type="formula" val="$BO$11" gte="0"/>
      </iconSet>
    </cfRule>
  </conditionalFormatting>
  <conditionalFormatting sqref="BN27">
    <cfRule type="iconSet" priority="1039">
      <iconSet iconSet="3Arrows">
        <cfvo type="percent" val="0"/>
        <cfvo type="formula" val="$BO$27"/>
        <cfvo type="formula" val="$BO$27" gte="0"/>
      </iconSet>
    </cfRule>
  </conditionalFormatting>
  <conditionalFormatting sqref="BN40">
    <cfRule type="iconSet" priority="1038">
      <iconSet iconSet="3Arrows">
        <cfvo type="percent" val="0"/>
        <cfvo type="formula" val="$BO$40"/>
        <cfvo type="formula" val="$BO$40" gte="0"/>
      </iconSet>
    </cfRule>
  </conditionalFormatting>
  <conditionalFormatting sqref="BN41">
    <cfRule type="iconSet" priority="1037">
      <iconSet iconSet="3Arrows">
        <cfvo type="percent" val="0"/>
        <cfvo type="formula" val="$BO$41"/>
        <cfvo type="formula" val="$BO$41" gte="0"/>
      </iconSet>
    </cfRule>
  </conditionalFormatting>
  <conditionalFormatting sqref="BN12">
    <cfRule type="iconSet" priority="1036">
      <iconSet iconSet="3Arrows">
        <cfvo type="percent" val="0"/>
        <cfvo type="formula" val="$BO$12"/>
        <cfvo type="formula" val="$BO$12" gte="0"/>
      </iconSet>
    </cfRule>
  </conditionalFormatting>
  <conditionalFormatting sqref="BN13">
    <cfRule type="iconSet" priority="1035">
      <iconSet iconSet="3Arrows">
        <cfvo type="percent" val="0"/>
        <cfvo type="formula" val="$BO$13"/>
        <cfvo type="formula" val="$BO$13" gte="0"/>
      </iconSet>
    </cfRule>
  </conditionalFormatting>
  <conditionalFormatting sqref="BN44">
    <cfRule type="iconSet" priority="1034">
      <iconSet iconSet="3Arrows">
        <cfvo type="percent" val="0"/>
        <cfvo type="formula" val="$BO$44"/>
        <cfvo type="formula" val="$BO$44" gte="0"/>
      </iconSet>
    </cfRule>
  </conditionalFormatting>
  <conditionalFormatting sqref="BN14">
    <cfRule type="iconSet" priority="1033">
      <iconSet iconSet="3Arrows">
        <cfvo type="percent" val="0"/>
        <cfvo type="formula" val="$BO$14"/>
        <cfvo type="formula" val="$BO$14" gte="0"/>
      </iconSet>
    </cfRule>
  </conditionalFormatting>
  <conditionalFormatting sqref="BN45">
    <cfRule type="iconSet" priority="1032">
      <iconSet iconSet="3Arrows">
        <cfvo type="percent" val="0"/>
        <cfvo type="formula" val="$BO$45"/>
        <cfvo type="formula" val="$BO$45" gte="0"/>
      </iconSet>
    </cfRule>
  </conditionalFormatting>
  <conditionalFormatting sqref="BN54">
    <cfRule type="iconSet" priority="1031">
      <iconSet iconSet="3Arrows">
        <cfvo type="percent" val="0"/>
        <cfvo type="formula" val="$BO$54"/>
        <cfvo type="formula" val="$BO$54" gte="0"/>
      </iconSet>
    </cfRule>
  </conditionalFormatting>
  <conditionalFormatting sqref="BN42">
    <cfRule type="iconSet" priority="1030">
      <iconSet iconSet="3Arrows">
        <cfvo type="percent" val="0"/>
        <cfvo type="formula" val="$BO$42"/>
        <cfvo type="formula" val="$BO$42" gte="0"/>
      </iconSet>
    </cfRule>
  </conditionalFormatting>
  <conditionalFormatting sqref="BN15">
    <cfRule type="iconSet" priority="1029">
      <iconSet iconSet="3Arrows">
        <cfvo type="percent" val="0"/>
        <cfvo type="formula" val="$BO$15"/>
        <cfvo type="formula" val="$BO$15" gte="0"/>
      </iconSet>
    </cfRule>
  </conditionalFormatting>
  <conditionalFormatting sqref="BN43">
    <cfRule type="iconSet" priority="1028">
      <iconSet iconSet="3Arrows">
        <cfvo type="percent" val="0"/>
        <cfvo type="formula" val="$BO$43"/>
        <cfvo type="formula" val="$BO$43" gte="0"/>
      </iconSet>
    </cfRule>
  </conditionalFormatting>
  <conditionalFormatting sqref="BN16">
    <cfRule type="iconSet" priority="1027">
      <iconSet iconSet="3Arrows">
        <cfvo type="percent" val="0"/>
        <cfvo type="formula" val="$BO$16"/>
        <cfvo type="formula" val="$BO$16" gte="0"/>
      </iconSet>
    </cfRule>
  </conditionalFormatting>
  <conditionalFormatting sqref="BN17">
    <cfRule type="iconSet" priority="1026">
      <iconSet iconSet="3Arrows">
        <cfvo type="percent" val="0"/>
        <cfvo type="formula" val="$BO$17"/>
        <cfvo type="formula" val="$BO$17" gte="0"/>
      </iconSet>
    </cfRule>
  </conditionalFormatting>
  <conditionalFormatting sqref="BN29">
    <cfRule type="iconSet" priority="1025">
      <iconSet iconSet="3Arrows">
        <cfvo type="percent" val="0"/>
        <cfvo type="formula" val="$BO$29"/>
        <cfvo type="formula" val="$BO$29" gte="0"/>
      </iconSet>
    </cfRule>
  </conditionalFormatting>
  <conditionalFormatting sqref="BN55">
    <cfRule type="iconSet" priority="1024">
      <iconSet iconSet="3Arrows">
        <cfvo type="percent" val="0"/>
        <cfvo type="formula" val="$BO$55"/>
        <cfvo type="formula" val="$BO$55" gte="0"/>
      </iconSet>
    </cfRule>
  </conditionalFormatting>
  <conditionalFormatting sqref="BN28">
    <cfRule type="iconSet" priority="1023">
      <iconSet iconSet="3Arrows">
        <cfvo type="percent" val="0"/>
        <cfvo type="formula" val="$BO$28"/>
        <cfvo type="formula" val="$BO$28" gte="0"/>
      </iconSet>
    </cfRule>
  </conditionalFormatting>
  <conditionalFormatting sqref="BN18">
    <cfRule type="iconSet" priority="1022">
      <iconSet iconSet="3Arrows">
        <cfvo type="percent" val="0"/>
        <cfvo type="formula" val="$BO$18"/>
        <cfvo type="formula" val="$BO$18" gte="0"/>
      </iconSet>
    </cfRule>
  </conditionalFormatting>
  <conditionalFormatting sqref="BN56">
    <cfRule type="iconSet" priority="1021">
      <iconSet iconSet="3Arrows">
        <cfvo type="percent" val="0"/>
        <cfvo type="formula" val="$BO$56"/>
        <cfvo type="formula" val="$BO$56" gte="0"/>
      </iconSet>
    </cfRule>
  </conditionalFormatting>
  <conditionalFormatting sqref="BN30">
    <cfRule type="iconSet" priority="1020">
      <iconSet iconSet="3Arrows">
        <cfvo type="percent" val="0"/>
        <cfvo type="formula" val="$BO$30"/>
        <cfvo type="formula" val="$BO$30" gte="0"/>
      </iconSet>
    </cfRule>
  </conditionalFormatting>
  <conditionalFormatting sqref="BN31">
    <cfRule type="iconSet" priority="1019">
      <iconSet iconSet="3Arrows">
        <cfvo type="percent" val="0"/>
        <cfvo type="formula" val="$BO$31"/>
        <cfvo type="formula" val="$BO$31" gte="0"/>
      </iconSet>
    </cfRule>
  </conditionalFormatting>
  <conditionalFormatting sqref="BN46">
    <cfRule type="iconSet" priority="1018">
      <iconSet iconSet="3Arrows">
        <cfvo type="percent" val="0"/>
        <cfvo type="formula" val="$BO$46"/>
        <cfvo type="formula" val="$BO$46" gte="0"/>
      </iconSet>
    </cfRule>
  </conditionalFormatting>
  <conditionalFormatting sqref="BN47">
    <cfRule type="iconSet" priority="1017">
      <iconSet iconSet="3Arrows">
        <cfvo type="percent" val="0"/>
        <cfvo type="formula" val="$BO$47"/>
        <cfvo type="formula" val="$BO$47" gte="0"/>
      </iconSet>
    </cfRule>
  </conditionalFormatting>
  <conditionalFormatting sqref="BN32">
    <cfRule type="iconSet" priority="1016">
      <iconSet iconSet="3Arrows">
        <cfvo type="percent" val="0"/>
        <cfvo type="formula" val="$BO$32"/>
        <cfvo type="formula" val="$BO$32" gte="0"/>
      </iconSet>
    </cfRule>
  </conditionalFormatting>
  <conditionalFormatting sqref="BN60">
    <cfRule type="iconSet" priority="1015">
      <iconSet iconSet="3Arrows">
        <cfvo type="percent" val="0"/>
        <cfvo type="formula" val="$BO$60"/>
        <cfvo type="formula" val="$BO$60" gte="0"/>
      </iconSet>
    </cfRule>
  </conditionalFormatting>
  <conditionalFormatting sqref="BN61">
    <cfRule type="iconSet" priority="1014">
      <iconSet iconSet="3Arrows">
        <cfvo type="percent" val="0"/>
        <cfvo type="formula" val="$BO$61"/>
        <cfvo type="formula" val="$BO$61" gte="0"/>
      </iconSet>
    </cfRule>
  </conditionalFormatting>
  <conditionalFormatting sqref="BN57">
    <cfRule type="iconSet" priority="1013">
      <iconSet iconSet="3Arrows">
        <cfvo type="percent" val="0"/>
        <cfvo type="formula" val="$BO$57"/>
        <cfvo type="formula" val="$BO$57" gte="0"/>
      </iconSet>
    </cfRule>
  </conditionalFormatting>
  <conditionalFormatting sqref="BN33">
    <cfRule type="iconSet" priority="1012">
      <iconSet iconSet="3Arrows">
        <cfvo type="percent" val="0"/>
        <cfvo type="formula" val="$BO$33"/>
        <cfvo type="formula" val="$BO$33" gte="0"/>
      </iconSet>
    </cfRule>
  </conditionalFormatting>
  <conditionalFormatting sqref="BN34">
    <cfRule type="iconSet" priority="1011">
      <iconSet iconSet="3Arrows">
        <cfvo type="percent" val="0"/>
        <cfvo type="formula" val="$BO$34"/>
        <cfvo type="formula" val="$BO$34" gte="0"/>
      </iconSet>
    </cfRule>
  </conditionalFormatting>
  <conditionalFormatting sqref="BN48">
    <cfRule type="iconSet" priority="1010">
      <iconSet iconSet="3Arrows">
        <cfvo type="percent" val="0"/>
        <cfvo type="formula" val="$BO$48"/>
        <cfvo type="formula" val="$BO$48" gte="0"/>
      </iconSet>
    </cfRule>
  </conditionalFormatting>
  <conditionalFormatting sqref="BN19">
    <cfRule type="iconSet" priority="1009">
      <iconSet iconSet="3Arrows">
        <cfvo type="percent" val="0"/>
        <cfvo type="formula" val="$BO$19"/>
        <cfvo type="formula" val="$BO$19" gte="0"/>
      </iconSet>
    </cfRule>
  </conditionalFormatting>
  <conditionalFormatting sqref="BN35">
    <cfRule type="iconSet" priority="1008">
      <iconSet iconSet="3Arrows">
        <cfvo type="percent" val="0"/>
        <cfvo type="formula" val="$BO$35"/>
        <cfvo type="formula" val="$BO$35" gte="0"/>
      </iconSet>
    </cfRule>
  </conditionalFormatting>
  <conditionalFormatting sqref="BN62">
    <cfRule type="iconSet" priority="1007">
      <iconSet iconSet="3Arrows">
        <cfvo type="percent" val="0"/>
        <cfvo type="formula" val="$BO$62"/>
        <cfvo type="formula" val="$BO$62" gte="0"/>
      </iconSet>
    </cfRule>
  </conditionalFormatting>
  <conditionalFormatting sqref="BN36">
    <cfRule type="iconSet" priority="1006">
      <iconSet iconSet="3Arrows">
        <cfvo type="percent" val="0"/>
        <cfvo type="formula" val="$BO$36"/>
        <cfvo type="formula" val="$BO$36" gte="0"/>
      </iconSet>
    </cfRule>
  </conditionalFormatting>
  <conditionalFormatting sqref="BN69">
    <cfRule type="iconSet" priority="1005">
      <iconSet iconSet="3Arrows">
        <cfvo type="percent" val="0"/>
        <cfvo type="formula" val="$BO$69"/>
        <cfvo type="formula" val="$BO$69" gte="0"/>
      </iconSet>
    </cfRule>
  </conditionalFormatting>
  <conditionalFormatting sqref="BN70">
    <cfRule type="iconSet" priority="1004">
      <iconSet iconSet="3Arrows">
        <cfvo type="percent" val="0"/>
        <cfvo type="formula" val="$BO$70"/>
        <cfvo type="formula" val="$BO$70" gte="0"/>
      </iconSet>
    </cfRule>
  </conditionalFormatting>
  <conditionalFormatting sqref="BN71">
    <cfRule type="iconSet" priority="1003">
      <iconSet iconSet="3Arrows">
        <cfvo type="percent" val="0"/>
        <cfvo type="formula" val="$BO$71"/>
        <cfvo type="formula" val="$BO$71" gte="0"/>
      </iconSet>
    </cfRule>
  </conditionalFormatting>
  <conditionalFormatting sqref="BN72">
    <cfRule type="iconSet" priority="1002">
      <iconSet iconSet="3Arrows">
        <cfvo type="percent" val="0"/>
        <cfvo type="formula" val="$BO$72"/>
        <cfvo type="formula" val="$BO$72" gte="0"/>
      </iconSet>
    </cfRule>
  </conditionalFormatting>
  <conditionalFormatting sqref="BN73">
    <cfRule type="iconSet" priority="1001">
      <iconSet iconSet="3Arrows">
        <cfvo type="percent" val="0"/>
        <cfvo type="formula" val="$BO$73"/>
        <cfvo type="formula" val="$BO$73" gte="0"/>
      </iconSet>
    </cfRule>
  </conditionalFormatting>
  <conditionalFormatting sqref="AB6">
    <cfRule type="iconSet" priority="1000">
      <iconSet iconSet="3Arrows">
        <cfvo type="percent" val="0"/>
        <cfvo type="formula" val="$AC$6"/>
        <cfvo type="formula" val="$AC$6" gte="0"/>
      </iconSet>
    </cfRule>
  </conditionalFormatting>
  <conditionalFormatting sqref="AB37">
    <cfRule type="iconSet" priority="999">
      <iconSet iconSet="3Arrows">
        <cfvo type="percent" val="0"/>
        <cfvo type="formula" val="$AC$37"/>
        <cfvo type="formula" val="$AC$37" gte="0"/>
      </iconSet>
    </cfRule>
  </conditionalFormatting>
  <conditionalFormatting sqref="AB20">
    <cfRule type="iconSet" priority="998">
      <iconSet iconSet="3Arrows">
        <cfvo type="percent" val="0"/>
        <cfvo type="formula" val="$AC$20"/>
        <cfvo type="formula" val="$AC$20" gte="0"/>
      </iconSet>
    </cfRule>
  </conditionalFormatting>
  <conditionalFormatting sqref="AB38">
    <cfRule type="iconSet" priority="997">
      <iconSet iconSet="3Arrows">
        <cfvo type="percent" val="0"/>
        <cfvo type="formula" val="$AC$38"/>
        <cfvo type="formula" val="$AC$38" gte="0"/>
      </iconSet>
    </cfRule>
  </conditionalFormatting>
  <conditionalFormatting sqref="AB49">
    <cfRule type="iconSet" priority="996">
      <iconSet iconSet="3Arrows">
        <cfvo type="percent" val="0"/>
        <cfvo type="formula" val="$AC$49"/>
        <cfvo type="formula" val="$AC$49" gte="0"/>
      </iconSet>
    </cfRule>
  </conditionalFormatting>
  <conditionalFormatting sqref="AB58">
    <cfRule type="iconSet" priority="995">
      <iconSet iconSet="3Arrows">
        <cfvo type="percent" val="0"/>
        <cfvo type="formula" val="$AC$58"/>
        <cfvo type="formula" val="$AC$58" gte="0"/>
      </iconSet>
    </cfRule>
  </conditionalFormatting>
  <conditionalFormatting sqref="AB7">
    <cfRule type="iconSet" priority="994">
      <iconSet iconSet="3Arrows">
        <cfvo type="percent" val="0"/>
        <cfvo type="formula" val="$AC$7"/>
        <cfvo type="formula" val="$AC$7" gte="0"/>
      </iconSet>
    </cfRule>
  </conditionalFormatting>
  <conditionalFormatting sqref="AB21">
    <cfRule type="iconSet" priority="993">
      <iconSet iconSet="3Arrows">
        <cfvo type="percent" val="0"/>
        <cfvo type="formula" val="$AC$21"/>
        <cfvo type="formula" val="$AC$21" gte="0"/>
      </iconSet>
    </cfRule>
  </conditionalFormatting>
  <conditionalFormatting sqref="AB59">
    <cfRule type="iconSet" priority="992">
      <iconSet iconSet="3Arrows">
        <cfvo type="percent" val="0"/>
        <cfvo type="formula" val="$AC$59"/>
        <cfvo type="formula" val="$AC$59" gte="0"/>
      </iconSet>
    </cfRule>
  </conditionalFormatting>
  <conditionalFormatting sqref="AB50">
    <cfRule type="iconSet" priority="991">
      <iconSet iconSet="3Arrows">
        <cfvo type="percent" val="0"/>
        <cfvo type="formula" val="$AC$50"/>
        <cfvo type="formula" val="$AC$50" gte="0"/>
      </iconSet>
    </cfRule>
  </conditionalFormatting>
  <conditionalFormatting sqref="AB22">
    <cfRule type="iconSet" priority="990">
      <iconSet iconSet="3Arrows">
        <cfvo type="percent" val="0"/>
        <cfvo type="formula" val="$AC$22"/>
        <cfvo type="formula" val="$AC$22" gte="0"/>
      </iconSet>
    </cfRule>
  </conditionalFormatting>
  <conditionalFormatting sqref="AB39">
    <cfRule type="iconSet" priority="989">
      <iconSet iconSet="3Arrows">
        <cfvo type="percent" val="0"/>
        <cfvo type="formula" val="$AC$39"/>
        <cfvo type="formula" val="$AC$39" gte="0"/>
      </iconSet>
    </cfRule>
  </conditionalFormatting>
  <conditionalFormatting sqref="AB51">
    <cfRule type="iconSet" priority="988">
      <iconSet iconSet="3Arrows">
        <cfvo type="percent" val="0"/>
        <cfvo type="formula" val="$AC$51"/>
        <cfvo type="formula" val="$AC$51" gte="0"/>
      </iconSet>
    </cfRule>
  </conditionalFormatting>
  <conditionalFormatting sqref="AB23">
    <cfRule type="iconSet" priority="987">
      <iconSet iconSet="3Arrows">
        <cfvo type="percent" val="0"/>
        <cfvo type="formula" val="$AC$23"/>
        <cfvo type="formula" val="$AC$23" gte="0"/>
      </iconSet>
    </cfRule>
  </conditionalFormatting>
  <conditionalFormatting sqref="AB24">
    <cfRule type="iconSet" priority="986">
      <iconSet iconSet="3Arrows">
        <cfvo type="percent" val="0"/>
        <cfvo type="formula" val="$AC$24"/>
        <cfvo type="formula" val="$AC$24" gte="0"/>
      </iconSet>
    </cfRule>
  </conditionalFormatting>
  <conditionalFormatting sqref="AB25">
    <cfRule type="iconSet" priority="985">
      <iconSet iconSet="3Arrows">
        <cfvo type="percent" val="0"/>
        <cfvo type="formula" val="$AC$25"/>
        <cfvo type="formula" val="$AC$25" gte="0"/>
      </iconSet>
    </cfRule>
  </conditionalFormatting>
  <conditionalFormatting sqref="AB8">
    <cfRule type="iconSet" priority="984">
      <iconSet iconSet="3Arrows">
        <cfvo type="percent" val="0"/>
        <cfvo type="formula" val="$AC$8"/>
        <cfvo type="formula" val="$AC$8" gte="0"/>
      </iconSet>
    </cfRule>
  </conditionalFormatting>
  <conditionalFormatting sqref="AB52">
    <cfRule type="iconSet" priority="983">
      <iconSet iconSet="3Arrows">
        <cfvo type="percent" val="0"/>
        <cfvo type="formula" val="$AC$52"/>
        <cfvo type="formula" val="$AC$52" gte="0"/>
      </iconSet>
    </cfRule>
  </conditionalFormatting>
  <conditionalFormatting sqref="AB53">
    <cfRule type="iconSet" priority="982">
      <iconSet iconSet="3Arrows">
        <cfvo type="percent" val="0"/>
        <cfvo type="formula" val="$AC$53"/>
        <cfvo type="formula" val="$AC$53" gte="0"/>
      </iconSet>
    </cfRule>
  </conditionalFormatting>
  <conditionalFormatting sqref="AB9">
    <cfRule type="iconSet" priority="981">
      <iconSet iconSet="3Arrows">
        <cfvo type="percent" val="0"/>
        <cfvo type="formula" val="$AC$9"/>
        <cfvo type="formula" val="$AC$9" gte="0"/>
      </iconSet>
    </cfRule>
  </conditionalFormatting>
  <conditionalFormatting sqref="AB10">
    <cfRule type="iconSet" priority="980">
      <iconSet iconSet="3Arrows">
        <cfvo type="percent" val="0"/>
        <cfvo type="formula" val="$AC$10"/>
        <cfvo type="formula" val="$AC$10" gte="0"/>
      </iconSet>
    </cfRule>
  </conditionalFormatting>
  <conditionalFormatting sqref="AB26">
    <cfRule type="iconSet" priority="979">
      <iconSet iconSet="3Arrows">
        <cfvo type="percent" val="0"/>
        <cfvo type="formula" val="$AC$26"/>
        <cfvo type="formula" val="$AC$26" gte="0"/>
      </iconSet>
    </cfRule>
  </conditionalFormatting>
  <conditionalFormatting sqref="AB11">
    <cfRule type="iconSet" priority="978">
      <iconSet iconSet="3Arrows">
        <cfvo type="percent" val="0"/>
        <cfvo type="formula" val="$AC$11"/>
        <cfvo type="formula" val="$AC$11" gte="0"/>
      </iconSet>
    </cfRule>
  </conditionalFormatting>
  <conditionalFormatting sqref="AB27">
    <cfRule type="iconSet" priority="977">
      <iconSet iconSet="3Arrows">
        <cfvo type="percent" val="0"/>
        <cfvo type="formula" val="$AC$27"/>
        <cfvo type="formula" val="$AC$27" gte="0"/>
      </iconSet>
    </cfRule>
  </conditionalFormatting>
  <conditionalFormatting sqref="AB40">
    <cfRule type="iconSet" priority="976">
      <iconSet iconSet="3Arrows">
        <cfvo type="percent" val="0"/>
        <cfvo type="formula" val="$AC$40"/>
        <cfvo type="formula" val="$AC$40" gte="0"/>
      </iconSet>
    </cfRule>
  </conditionalFormatting>
  <conditionalFormatting sqref="AB41">
    <cfRule type="iconSet" priority="975">
      <iconSet iconSet="3Arrows">
        <cfvo type="percent" val="0"/>
        <cfvo type="formula" val="$AC$41"/>
        <cfvo type="formula" val="$AC$41" gte="0"/>
      </iconSet>
    </cfRule>
  </conditionalFormatting>
  <conditionalFormatting sqref="AB12">
    <cfRule type="iconSet" priority="974">
      <iconSet iconSet="3Arrows">
        <cfvo type="percent" val="0"/>
        <cfvo type="formula" val="$AC$12"/>
        <cfvo type="formula" val="$AC$12" gte="0"/>
      </iconSet>
    </cfRule>
  </conditionalFormatting>
  <conditionalFormatting sqref="AB13">
    <cfRule type="iconSet" priority="973">
      <iconSet iconSet="3Arrows">
        <cfvo type="percent" val="0"/>
        <cfvo type="formula" val="$AC$13"/>
        <cfvo type="formula" val="$AC$13" gte="0"/>
      </iconSet>
    </cfRule>
  </conditionalFormatting>
  <conditionalFormatting sqref="AB44">
    <cfRule type="iconSet" priority="972">
      <iconSet iconSet="3Arrows">
        <cfvo type="percent" val="0"/>
        <cfvo type="formula" val="$AC$44"/>
        <cfvo type="formula" val="$AC$44" gte="0"/>
      </iconSet>
    </cfRule>
  </conditionalFormatting>
  <conditionalFormatting sqref="AB14">
    <cfRule type="iconSet" priority="971">
      <iconSet iconSet="3Arrows">
        <cfvo type="percent" val="0"/>
        <cfvo type="formula" val="$AC$14"/>
        <cfvo type="formula" val="$AC$14" gte="0"/>
      </iconSet>
    </cfRule>
  </conditionalFormatting>
  <conditionalFormatting sqref="AB45">
    <cfRule type="iconSet" priority="970">
      <iconSet iconSet="3Arrows">
        <cfvo type="percent" val="0"/>
        <cfvo type="formula" val="$AC$45"/>
        <cfvo type="formula" val="$AC$45" gte="0"/>
      </iconSet>
    </cfRule>
  </conditionalFormatting>
  <conditionalFormatting sqref="AB54">
    <cfRule type="iconSet" priority="969">
      <iconSet iconSet="3Arrows">
        <cfvo type="percent" val="0"/>
        <cfvo type="formula" val="$AC$54"/>
        <cfvo type="formula" val="$AC$54" gte="0"/>
      </iconSet>
    </cfRule>
  </conditionalFormatting>
  <conditionalFormatting sqref="AB42">
    <cfRule type="iconSet" priority="968">
      <iconSet iconSet="3Arrows">
        <cfvo type="percent" val="0"/>
        <cfvo type="formula" val="$AC$42"/>
        <cfvo type="formula" val="$AC$42" gte="0"/>
      </iconSet>
    </cfRule>
  </conditionalFormatting>
  <conditionalFormatting sqref="AB15">
    <cfRule type="iconSet" priority="967">
      <iconSet iconSet="3Arrows">
        <cfvo type="percent" val="0"/>
        <cfvo type="formula" val="$AC$15"/>
        <cfvo type="formula" val="$AC$15" gte="0"/>
      </iconSet>
    </cfRule>
  </conditionalFormatting>
  <conditionalFormatting sqref="AB43">
    <cfRule type="iconSet" priority="966">
      <iconSet iconSet="3Arrows">
        <cfvo type="percent" val="0"/>
        <cfvo type="formula" val="$AC$43"/>
        <cfvo type="formula" val="$AC$43" gte="0"/>
      </iconSet>
    </cfRule>
  </conditionalFormatting>
  <conditionalFormatting sqref="AB16">
    <cfRule type="iconSet" priority="965">
      <iconSet iconSet="3Arrows">
        <cfvo type="percent" val="0"/>
        <cfvo type="formula" val="$AC$16"/>
        <cfvo type="formula" val="$AC$16" gte="0"/>
      </iconSet>
    </cfRule>
  </conditionalFormatting>
  <conditionalFormatting sqref="AB17">
    <cfRule type="iconSet" priority="964">
      <iconSet iconSet="3Arrows">
        <cfvo type="percent" val="0"/>
        <cfvo type="formula" val="$AC$17"/>
        <cfvo type="formula" val="$AC$17" gte="0"/>
      </iconSet>
    </cfRule>
  </conditionalFormatting>
  <conditionalFormatting sqref="AB29">
    <cfRule type="iconSet" priority="963">
      <iconSet iconSet="3Arrows">
        <cfvo type="percent" val="0"/>
        <cfvo type="formula" val="$AC$29"/>
        <cfvo type="formula" val="$AC$29" gte="0"/>
      </iconSet>
    </cfRule>
  </conditionalFormatting>
  <conditionalFormatting sqref="AB55">
    <cfRule type="iconSet" priority="962">
      <iconSet iconSet="3Arrows">
        <cfvo type="percent" val="0"/>
        <cfvo type="formula" val="$AC$55"/>
        <cfvo type="formula" val="$AC$55" gte="0"/>
      </iconSet>
    </cfRule>
  </conditionalFormatting>
  <conditionalFormatting sqref="AB28">
    <cfRule type="iconSet" priority="961">
      <iconSet iconSet="3Arrows">
        <cfvo type="percent" val="0"/>
        <cfvo type="formula" val="$AC$28"/>
        <cfvo type="formula" val="$AC$28" gte="0"/>
      </iconSet>
    </cfRule>
  </conditionalFormatting>
  <conditionalFormatting sqref="AB18">
    <cfRule type="iconSet" priority="960">
      <iconSet iconSet="3Arrows">
        <cfvo type="percent" val="0"/>
        <cfvo type="formula" val="$AC$18"/>
        <cfvo type="formula" val="$AC$18" gte="0"/>
      </iconSet>
    </cfRule>
  </conditionalFormatting>
  <conditionalFormatting sqref="AB56">
    <cfRule type="iconSet" priority="959">
      <iconSet iconSet="3Arrows">
        <cfvo type="percent" val="0"/>
        <cfvo type="formula" val="$AC$56"/>
        <cfvo type="formula" val="$AC$56" gte="0"/>
      </iconSet>
    </cfRule>
  </conditionalFormatting>
  <conditionalFormatting sqref="AB30">
    <cfRule type="iconSet" priority="958">
      <iconSet iconSet="3Arrows">
        <cfvo type="percent" val="0"/>
        <cfvo type="formula" val="$AC$30"/>
        <cfvo type="formula" val="$AC$30" gte="0"/>
      </iconSet>
    </cfRule>
  </conditionalFormatting>
  <conditionalFormatting sqref="AB31">
    <cfRule type="iconSet" priority="957">
      <iconSet iconSet="3Arrows">
        <cfvo type="percent" val="0"/>
        <cfvo type="formula" val="$AC$31"/>
        <cfvo type="formula" val="$AC$31" gte="0"/>
      </iconSet>
    </cfRule>
  </conditionalFormatting>
  <conditionalFormatting sqref="AB46">
    <cfRule type="iconSet" priority="956">
      <iconSet iconSet="3Arrows">
        <cfvo type="percent" val="0"/>
        <cfvo type="formula" val="$AC$46"/>
        <cfvo type="formula" val="$AC$46" gte="0"/>
      </iconSet>
    </cfRule>
  </conditionalFormatting>
  <conditionalFormatting sqref="AB47">
    <cfRule type="iconSet" priority="955">
      <iconSet iconSet="3Arrows">
        <cfvo type="percent" val="0"/>
        <cfvo type="formula" val="$AC$47"/>
        <cfvo type="formula" val="$AC$47" gte="0"/>
      </iconSet>
    </cfRule>
  </conditionalFormatting>
  <conditionalFormatting sqref="AB32">
    <cfRule type="iconSet" priority="954">
      <iconSet iconSet="3Arrows">
        <cfvo type="percent" val="0"/>
        <cfvo type="formula" val="$AC$32"/>
        <cfvo type="formula" val="$AC$32" gte="0"/>
      </iconSet>
    </cfRule>
  </conditionalFormatting>
  <conditionalFormatting sqref="AB60">
    <cfRule type="iconSet" priority="953">
      <iconSet iconSet="3Arrows">
        <cfvo type="percent" val="0"/>
        <cfvo type="formula" val="$AC$60"/>
        <cfvo type="formula" val="$AC$60" gte="0"/>
      </iconSet>
    </cfRule>
  </conditionalFormatting>
  <conditionalFormatting sqref="AB61">
    <cfRule type="iconSet" priority="952">
      <iconSet iconSet="3Arrows">
        <cfvo type="percent" val="0"/>
        <cfvo type="formula" val="$AC$61"/>
        <cfvo type="formula" val="$AC$61" gte="0"/>
      </iconSet>
    </cfRule>
  </conditionalFormatting>
  <conditionalFormatting sqref="AB57">
    <cfRule type="iconSet" priority="951">
      <iconSet iconSet="3Arrows">
        <cfvo type="percent" val="0"/>
        <cfvo type="formula" val="$AC$57"/>
        <cfvo type="formula" val="$AC$57" gte="0"/>
      </iconSet>
    </cfRule>
  </conditionalFormatting>
  <conditionalFormatting sqref="AB33">
    <cfRule type="iconSet" priority="950">
      <iconSet iconSet="3Arrows">
        <cfvo type="percent" val="0"/>
        <cfvo type="formula" val="$AC$33"/>
        <cfvo type="formula" val="$AC$33" gte="0"/>
      </iconSet>
    </cfRule>
  </conditionalFormatting>
  <conditionalFormatting sqref="AB34">
    <cfRule type="iconSet" priority="949">
      <iconSet iconSet="3Arrows">
        <cfvo type="percent" val="0"/>
        <cfvo type="formula" val="$AC$34"/>
        <cfvo type="formula" val="$AC$34" gte="0"/>
      </iconSet>
    </cfRule>
  </conditionalFormatting>
  <conditionalFormatting sqref="AB48">
    <cfRule type="iconSet" priority="948">
      <iconSet iconSet="3Arrows">
        <cfvo type="percent" val="0"/>
        <cfvo type="formula" val="$AC$48"/>
        <cfvo type="formula" val="$AC$48" gte="0"/>
      </iconSet>
    </cfRule>
  </conditionalFormatting>
  <conditionalFormatting sqref="AB19">
    <cfRule type="iconSet" priority="947">
      <iconSet iconSet="3Arrows">
        <cfvo type="percent" val="0"/>
        <cfvo type="formula" val="$AC$19"/>
        <cfvo type="formula" val="$AC$19" gte="0"/>
      </iconSet>
    </cfRule>
  </conditionalFormatting>
  <conditionalFormatting sqref="AB35">
    <cfRule type="iconSet" priority="946">
      <iconSet iconSet="3Arrows">
        <cfvo type="percent" val="0"/>
        <cfvo type="formula" val="$AC$35"/>
        <cfvo type="formula" val="$AC$35" gte="0"/>
      </iconSet>
    </cfRule>
  </conditionalFormatting>
  <conditionalFormatting sqref="AB62">
    <cfRule type="iconSet" priority="945">
      <iconSet iconSet="3Arrows">
        <cfvo type="percent" val="0"/>
        <cfvo type="formula" val="$AC$62"/>
        <cfvo type="formula" val="$AC$62" gte="0"/>
      </iconSet>
    </cfRule>
  </conditionalFormatting>
  <conditionalFormatting sqref="AB36">
    <cfRule type="iconSet" priority="944">
      <iconSet iconSet="3Arrows">
        <cfvo type="percent" val="0"/>
        <cfvo type="formula" val="$AC$36"/>
        <cfvo type="formula" val="$AC$36" gte="0"/>
      </iconSet>
    </cfRule>
  </conditionalFormatting>
  <conditionalFormatting sqref="AB69">
    <cfRule type="iconSet" priority="943">
      <iconSet iconSet="3Arrows">
        <cfvo type="percent" val="0"/>
        <cfvo type="formula" val="$AC$69"/>
        <cfvo type="formula" val="$AC$69" gte="0"/>
      </iconSet>
    </cfRule>
  </conditionalFormatting>
  <conditionalFormatting sqref="AB70">
    <cfRule type="iconSet" priority="942">
      <iconSet iconSet="3Arrows">
        <cfvo type="percent" val="0"/>
        <cfvo type="formula" val="$AC$70"/>
        <cfvo type="formula" val="$AC$70" gte="0"/>
      </iconSet>
    </cfRule>
  </conditionalFormatting>
  <conditionalFormatting sqref="AB71">
    <cfRule type="iconSet" priority="941">
      <iconSet iconSet="3Arrows">
        <cfvo type="percent" val="0"/>
        <cfvo type="formula" val="$AC$71"/>
        <cfvo type="formula" val="$AC$71" gte="0"/>
      </iconSet>
    </cfRule>
  </conditionalFormatting>
  <conditionalFormatting sqref="AB72">
    <cfRule type="iconSet" priority="940">
      <iconSet iconSet="3Arrows">
        <cfvo type="percent" val="0"/>
        <cfvo type="formula" val="$AC$72"/>
        <cfvo type="formula" val="$AC$72" gte="0"/>
      </iconSet>
    </cfRule>
  </conditionalFormatting>
  <conditionalFormatting sqref="AB73">
    <cfRule type="iconSet" priority="939">
      <iconSet iconSet="3Arrows">
        <cfvo type="percent" val="0"/>
        <cfvo type="formula" val="$AC$73"/>
        <cfvo type="formula" val="$AC$73" gte="0"/>
      </iconSet>
    </cfRule>
  </conditionalFormatting>
  <conditionalFormatting sqref="AN6">
    <cfRule type="iconSet" priority="938">
      <iconSet iconSet="3Arrows">
        <cfvo type="percent" val="0"/>
        <cfvo type="formula" val="$AP$6"/>
        <cfvo type="formula" val="$AP$6" gte="0"/>
      </iconSet>
    </cfRule>
  </conditionalFormatting>
  <conditionalFormatting sqref="AN37">
    <cfRule type="iconSet" priority="937">
      <iconSet iconSet="3Arrows">
        <cfvo type="percent" val="0"/>
        <cfvo type="formula" val="$AP$37"/>
        <cfvo type="formula" val="$AP$37" gte="0"/>
      </iconSet>
    </cfRule>
  </conditionalFormatting>
  <conditionalFormatting sqref="AN20">
    <cfRule type="iconSet" priority="936">
      <iconSet iconSet="3Arrows">
        <cfvo type="percent" val="0"/>
        <cfvo type="formula" val="$AP$20"/>
        <cfvo type="formula" val="$AP$20" gte="0"/>
      </iconSet>
    </cfRule>
  </conditionalFormatting>
  <conditionalFormatting sqref="AN49">
    <cfRule type="iconSet" priority="935">
      <iconSet iconSet="3Arrows">
        <cfvo type="percent" val="0"/>
        <cfvo type="formula" val="$AP$49"/>
        <cfvo type="formula" val="$AP$49" gte="0"/>
      </iconSet>
    </cfRule>
  </conditionalFormatting>
  <conditionalFormatting sqref="AN7">
    <cfRule type="iconSet" priority="934">
      <iconSet iconSet="3Arrows">
        <cfvo type="percent" val="0"/>
        <cfvo type="formula" val="$AP$7"/>
        <cfvo type="formula" val="$AP$7" gte="0"/>
      </iconSet>
    </cfRule>
  </conditionalFormatting>
  <conditionalFormatting sqref="AN21">
    <cfRule type="iconSet" priority="933">
      <iconSet iconSet="3Arrows">
        <cfvo type="percent" val="0"/>
        <cfvo type="formula" val="$AP$21"/>
        <cfvo type="formula" val="$AP$21" gte="0"/>
      </iconSet>
    </cfRule>
  </conditionalFormatting>
  <conditionalFormatting sqref="AN39">
    <cfRule type="iconSet" priority="932">
      <iconSet iconSet="3Arrows">
        <cfvo type="percent" val="0"/>
        <cfvo type="formula" val="$AP$39"/>
        <cfvo type="formula" val="$AP$39" gte="0"/>
      </iconSet>
    </cfRule>
  </conditionalFormatting>
  <conditionalFormatting sqref="AN51">
    <cfRule type="iconSet" priority="931">
      <iconSet iconSet="3Arrows">
        <cfvo type="percent" val="0"/>
        <cfvo type="formula" val="$AP$51"/>
        <cfvo type="formula" val="$AP$51" gte="0"/>
      </iconSet>
    </cfRule>
  </conditionalFormatting>
  <conditionalFormatting sqref="AN23">
    <cfRule type="iconSet" priority="930">
      <iconSet iconSet="3Arrows">
        <cfvo type="percent" val="0"/>
        <cfvo type="formula" val="$AP$23"/>
        <cfvo type="formula" val="$AP$23" gte="0"/>
      </iconSet>
    </cfRule>
  </conditionalFormatting>
  <conditionalFormatting sqref="AN52">
    <cfRule type="iconSet" priority="929">
      <iconSet iconSet="3Arrows">
        <cfvo type="percent" val="0"/>
        <cfvo type="formula" val="$AP$52"/>
        <cfvo type="formula" val="$AP$52" gte="0"/>
      </iconSet>
    </cfRule>
  </conditionalFormatting>
  <conditionalFormatting sqref="AN53">
    <cfRule type="iconSet" priority="928">
      <iconSet iconSet="3Arrows">
        <cfvo type="percent" val="0"/>
        <cfvo type="formula" val="$AP$53"/>
        <cfvo type="formula" val="$AP$53" gte="0"/>
      </iconSet>
    </cfRule>
  </conditionalFormatting>
  <conditionalFormatting sqref="AN9">
    <cfRule type="iconSet" priority="927">
      <iconSet iconSet="3Arrows">
        <cfvo type="percent" val="0"/>
        <cfvo type="formula" val="$AP$9"/>
        <cfvo type="formula" val="$AP$9" gte="0"/>
      </iconSet>
    </cfRule>
  </conditionalFormatting>
  <conditionalFormatting sqref="AN26">
    <cfRule type="iconSet" priority="926">
      <iconSet iconSet="3Arrows">
        <cfvo type="percent" val="0"/>
        <cfvo type="formula" val="$AP$26"/>
        <cfvo type="formula" val="$AP$26" gte="0"/>
      </iconSet>
    </cfRule>
  </conditionalFormatting>
  <conditionalFormatting sqref="AN12">
    <cfRule type="iconSet" priority="925">
      <iconSet iconSet="3Arrows">
        <cfvo type="percent" val="0"/>
        <cfvo type="formula" val="$AP$12"/>
        <cfvo type="formula" val="$AP$12" gte="0"/>
      </iconSet>
    </cfRule>
  </conditionalFormatting>
  <conditionalFormatting sqref="AN13">
    <cfRule type="iconSet" priority="924">
      <iconSet iconSet="3Arrows">
        <cfvo type="percent" val="0"/>
        <cfvo type="formula" val="$AP$13"/>
        <cfvo type="formula" val="$AP$13" gte="0"/>
      </iconSet>
    </cfRule>
  </conditionalFormatting>
  <conditionalFormatting sqref="AN44">
    <cfRule type="iconSet" priority="923">
      <iconSet iconSet="3Arrows">
        <cfvo type="percent" val="0"/>
        <cfvo type="formula" val="$AP$44"/>
        <cfvo type="formula" val="$AP$44" gte="0"/>
      </iconSet>
    </cfRule>
  </conditionalFormatting>
  <conditionalFormatting sqref="AN45">
    <cfRule type="iconSet" priority="922">
      <iconSet iconSet="3Arrows">
        <cfvo type="percent" val="0"/>
        <cfvo type="formula" val="$AP$45"/>
        <cfvo type="formula" val="$AP$45" gte="0"/>
      </iconSet>
    </cfRule>
  </conditionalFormatting>
  <conditionalFormatting sqref="AN54">
    <cfRule type="iconSet" priority="921">
      <iconSet iconSet="3Arrows">
        <cfvo type="percent" val="0"/>
        <cfvo type="formula" val="$AP$54"/>
        <cfvo type="formula" val="$AP$54" gte="0"/>
      </iconSet>
    </cfRule>
  </conditionalFormatting>
  <conditionalFormatting sqref="AN42">
    <cfRule type="iconSet" priority="920">
      <iconSet iconSet="3Arrows">
        <cfvo type="percent" val="0"/>
        <cfvo type="formula" val="$AP$42"/>
        <cfvo type="formula" val="$AP$42" gte="0"/>
      </iconSet>
    </cfRule>
  </conditionalFormatting>
  <conditionalFormatting sqref="AN17">
    <cfRule type="iconSet" priority="919">
      <iconSet iconSet="3Arrows">
        <cfvo type="percent" val="0"/>
        <cfvo type="formula" val="$AP$17"/>
        <cfvo type="formula" val="$AP$17" gte="0"/>
      </iconSet>
    </cfRule>
  </conditionalFormatting>
  <conditionalFormatting sqref="AN29">
    <cfRule type="iconSet" priority="918">
      <iconSet iconSet="3Arrows">
        <cfvo type="percent" val="0"/>
        <cfvo type="formula" val="$AP$29"/>
        <cfvo type="formula" val="$AP$29" gte="0"/>
      </iconSet>
    </cfRule>
  </conditionalFormatting>
  <conditionalFormatting sqref="AN55">
    <cfRule type="iconSet" priority="917">
      <iconSet iconSet="3Arrows">
        <cfvo type="percent" val="0"/>
        <cfvo type="formula" val="$AP$55"/>
        <cfvo type="formula" val="$AP$55" gte="0"/>
      </iconSet>
    </cfRule>
  </conditionalFormatting>
  <conditionalFormatting sqref="AN18">
    <cfRule type="iconSet" priority="916">
      <iconSet iconSet="3Arrows">
        <cfvo type="percent" val="0"/>
        <cfvo type="formula" val="$AP$18"/>
        <cfvo type="formula" val="$AP$18" gte="0"/>
      </iconSet>
    </cfRule>
  </conditionalFormatting>
  <conditionalFormatting sqref="AN30">
    <cfRule type="iconSet" priority="915">
      <iconSet iconSet="3Arrows">
        <cfvo type="percent" val="0"/>
        <cfvo type="formula" val="$AP$30"/>
        <cfvo type="formula" val="$AP$30" gte="0"/>
      </iconSet>
    </cfRule>
  </conditionalFormatting>
  <conditionalFormatting sqref="AN46">
    <cfRule type="iconSet" priority="914">
      <iconSet iconSet="3Arrows">
        <cfvo type="percent" val="0"/>
        <cfvo type="formula" val="$AP$46"/>
        <cfvo type="formula" val="$AP$46" gte="0"/>
      </iconSet>
    </cfRule>
  </conditionalFormatting>
  <conditionalFormatting sqref="AN47">
    <cfRule type="iconSet" priority="913">
      <iconSet iconSet="3Arrows">
        <cfvo type="percent" val="0"/>
        <cfvo type="formula" val="$AP$47"/>
        <cfvo type="formula" val="$AP$47" gte="0"/>
      </iconSet>
    </cfRule>
  </conditionalFormatting>
  <conditionalFormatting sqref="AN61">
    <cfRule type="iconSet" priority="912">
      <iconSet iconSet="3Arrows">
        <cfvo type="percent" val="0"/>
        <cfvo type="formula" val="$AP$61"/>
        <cfvo type="formula" val="$AP$61" gte="0"/>
      </iconSet>
    </cfRule>
  </conditionalFormatting>
  <conditionalFormatting sqref="AN57">
    <cfRule type="iconSet" priority="911">
      <iconSet iconSet="3Arrows">
        <cfvo type="percent" val="0"/>
        <cfvo type="formula" val="$AP$57"/>
        <cfvo type="formula" val="$AP$57" gte="0"/>
      </iconSet>
    </cfRule>
  </conditionalFormatting>
  <conditionalFormatting sqref="AN34">
    <cfRule type="iconSet" priority="910">
      <iconSet iconSet="3Arrows">
        <cfvo type="percent" val="0"/>
        <cfvo type="formula" val="$AP$34"/>
        <cfvo type="formula" val="$AP$34" gte="0"/>
      </iconSet>
    </cfRule>
  </conditionalFormatting>
  <conditionalFormatting sqref="AN48">
    <cfRule type="iconSet" priority="909">
      <iconSet iconSet="3Arrows">
        <cfvo type="percent" val="0"/>
        <cfvo type="formula" val="$AP$48"/>
        <cfvo type="formula" val="$AP$48" gte="0"/>
      </iconSet>
    </cfRule>
  </conditionalFormatting>
  <conditionalFormatting sqref="AN35">
    <cfRule type="iconSet" priority="908">
      <iconSet iconSet="3Arrows">
        <cfvo type="percent" val="0"/>
        <cfvo type="formula" val="$AP$35"/>
        <cfvo type="formula" val="$AP$35" gte="0"/>
      </iconSet>
    </cfRule>
  </conditionalFormatting>
  <conditionalFormatting sqref="AN62">
    <cfRule type="iconSet" priority="907">
      <iconSet iconSet="3Arrows">
        <cfvo type="percent" val="0"/>
        <cfvo type="formula" val="$AP$62"/>
        <cfvo type="formula" val="$AP$62" gte="0"/>
      </iconSet>
    </cfRule>
  </conditionalFormatting>
  <conditionalFormatting sqref="AN36">
    <cfRule type="iconSet" priority="906">
      <iconSet iconSet="3Arrows">
        <cfvo type="percent" val="0"/>
        <cfvo type="formula" val="$AP$36"/>
        <cfvo type="formula" val="$AP$36" gte="0"/>
      </iconSet>
    </cfRule>
  </conditionalFormatting>
  <conditionalFormatting sqref="AN69">
    <cfRule type="iconSet" priority="905">
      <iconSet iconSet="3Arrows">
        <cfvo type="percent" val="0"/>
        <cfvo type="formula" val="$AP$69"/>
        <cfvo type="formula" val="$AP$69" gte="0"/>
      </iconSet>
    </cfRule>
  </conditionalFormatting>
  <conditionalFormatting sqref="AN70">
    <cfRule type="iconSet" priority="904">
      <iconSet iconSet="3Arrows">
        <cfvo type="percent" val="0"/>
        <cfvo type="formula" val="$AP$70"/>
        <cfvo type="formula" val="$AP$70" gte="0"/>
      </iconSet>
    </cfRule>
  </conditionalFormatting>
  <conditionalFormatting sqref="AN71">
    <cfRule type="iconSet" priority="903">
      <iconSet iconSet="3Arrows">
        <cfvo type="percent" val="0"/>
        <cfvo type="formula" val="$AP$71"/>
        <cfvo type="formula" val="$AP$71" gte="0"/>
      </iconSet>
    </cfRule>
  </conditionalFormatting>
  <conditionalFormatting sqref="AN72">
    <cfRule type="iconSet" priority="902">
      <iconSet iconSet="3Arrows">
        <cfvo type="percent" val="0"/>
        <cfvo type="formula" val="$AP$72"/>
        <cfvo type="formula" val="$AP$72" gte="0"/>
      </iconSet>
    </cfRule>
  </conditionalFormatting>
  <conditionalFormatting sqref="AN73">
    <cfRule type="iconSet" priority="901">
      <iconSet iconSet="3Arrows">
        <cfvo type="percent" val="0"/>
        <cfvo type="formula" val="$AP$73"/>
        <cfvo type="formula" val="$AP$73" gte="0"/>
      </iconSet>
    </cfRule>
  </conditionalFormatting>
  <conditionalFormatting sqref="AQ6">
    <cfRule type="iconSet" priority="900">
      <iconSet iconSet="3Arrows">
        <cfvo type="percent" val="0"/>
        <cfvo type="formula" val="$AS$6"/>
        <cfvo type="formula" val="$AS$6" gte="0"/>
      </iconSet>
    </cfRule>
  </conditionalFormatting>
  <conditionalFormatting sqref="AQ37">
    <cfRule type="iconSet" priority="899">
      <iconSet iconSet="3Arrows">
        <cfvo type="percent" val="0"/>
        <cfvo type="formula" val="$AS$37"/>
        <cfvo type="formula" val="$AS$37" gte="0"/>
      </iconSet>
    </cfRule>
  </conditionalFormatting>
  <conditionalFormatting sqref="AQ20">
    <cfRule type="iconSet" priority="898">
      <iconSet iconSet="3Arrows">
        <cfvo type="percent" val="0"/>
        <cfvo type="formula" val="$AS$20"/>
        <cfvo type="formula" val="$AS$20" gte="0"/>
      </iconSet>
    </cfRule>
  </conditionalFormatting>
  <conditionalFormatting sqref="AQ49">
    <cfRule type="iconSet" priority="897">
      <iconSet iconSet="3Arrows">
        <cfvo type="percent" val="0"/>
        <cfvo type="formula" val="$AS$49"/>
        <cfvo type="formula" val="$AS$49" gte="0"/>
      </iconSet>
    </cfRule>
  </conditionalFormatting>
  <conditionalFormatting sqref="AQ7">
    <cfRule type="iconSet" priority="896">
      <iconSet iconSet="3Arrows">
        <cfvo type="percent" val="0"/>
        <cfvo type="formula" val="$AS$7"/>
        <cfvo type="formula" val="$AS$7" gte="0"/>
      </iconSet>
    </cfRule>
  </conditionalFormatting>
  <conditionalFormatting sqref="AQ21">
    <cfRule type="iconSet" priority="895">
      <iconSet iconSet="3Arrows">
        <cfvo type="percent" val="0"/>
        <cfvo type="formula" val="$AS$21"/>
        <cfvo type="formula" val="$AS$21" gte="0"/>
      </iconSet>
    </cfRule>
  </conditionalFormatting>
  <conditionalFormatting sqref="AQ39">
    <cfRule type="iconSet" priority="894">
      <iconSet iconSet="3Arrows">
        <cfvo type="percent" val="0"/>
        <cfvo type="formula" val="$AS$39"/>
        <cfvo type="formula" val="$AS$39" gte="0"/>
      </iconSet>
    </cfRule>
  </conditionalFormatting>
  <conditionalFormatting sqref="AQ51">
    <cfRule type="iconSet" priority="893">
      <iconSet iconSet="3Arrows">
        <cfvo type="percent" val="0"/>
        <cfvo type="formula" val="$AS$51"/>
        <cfvo type="formula" val="$AS$51" gte="0"/>
      </iconSet>
    </cfRule>
  </conditionalFormatting>
  <conditionalFormatting sqref="AQ23">
    <cfRule type="iconSet" priority="892">
      <iconSet iconSet="3Arrows">
        <cfvo type="percent" val="0"/>
        <cfvo type="formula" val="$AS$23"/>
        <cfvo type="formula" val="$AS$23" gte="0"/>
      </iconSet>
    </cfRule>
  </conditionalFormatting>
  <conditionalFormatting sqref="AQ52">
    <cfRule type="iconSet" priority="891">
      <iconSet iconSet="3Arrows">
        <cfvo type="percent" val="0"/>
        <cfvo type="formula" val="$AS$52"/>
        <cfvo type="formula" val="$AS$52" gte="0"/>
      </iconSet>
    </cfRule>
  </conditionalFormatting>
  <conditionalFormatting sqref="AQ53">
    <cfRule type="iconSet" priority="890">
      <iconSet iconSet="3Arrows">
        <cfvo type="percent" val="0"/>
        <cfvo type="formula" val="$AS$53"/>
        <cfvo type="formula" val="$AS$53" gte="0"/>
      </iconSet>
    </cfRule>
  </conditionalFormatting>
  <conditionalFormatting sqref="AQ9">
    <cfRule type="iconSet" priority="889">
      <iconSet iconSet="3Arrows">
        <cfvo type="percent" val="0"/>
        <cfvo type="formula" val="$AS$9"/>
        <cfvo type="formula" val="$AS$9" gte="0"/>
      </iconSet>
    </cfRule>
  </conditionalFormatting>
  <conditionalFormatting sqref="AQ26">
    <cfRule type="iconSet" priority="888">
      <iconSet iconSet="3Arrows">
        <cfvo type="percent" val="0"/>
        <cfvo type="formula" val="$AS$26"/>
        <cfvo type="formula" val="$AS$26" gte="0"/>
      </iconSet>
    </cfRule>
  </conditionalFormatting>
  <conditionalFormatting sqref="AQ12">
    <cfRule type="iconSet" priority="887">
      <iconSet iconSet="3Arrows">
        <cfvo type="percent" val="0"/>
        <cfvo type="formula" val="$AS$12"/>
        <cfvo type="formula" val="$AS$12" gte="0"/>
      </iconSet>
    </cfRule>
  </conditionalFormatting>
  <conditionalFormatting sqref="AQ13">
    <cfRule type="iconSet" priority="886">
      <iconSet iconSet="3Arrows">
        <cfvo type="percent" val="0"/>
        <cfvo type="formula" val="$AS$13"/>
        <cfvo type="formula" val="$AS$13" gte="0"/>
      </iconSet>
    </cfRule>
  </conditionalFormatting>
  <conditionalFormatting sqref="AQ44">
    <cfRule type="iconSet" priority="885">
      <iconSet iconSet="3Arrows">
        <cfvo type="percent" val="0"/>
        <cfvo type="formula" val="$AS$44"/>
        <cfvo type="formula" val="$AS$44" gte="0"/>
      </iconSet>
    </cfRule>
  </conditionalFormatting>
  <conditionalFormatting sqref="AQ45">
    <cfRule type="iconSet" priority="884">
      <iconSet iconSet="3Arrows">
        <cfvo type="percent" val="0"/>
        <cfvo type="formula" val="$AS$45"/>
        <cfvo type="formula" val="$AS$45" gte="0"/>
      </iconSet>
    </cfRule>
  </conditionalFormatting>
  <conditionalFormatting sqref="AQ54">
    <cfRule type="iconSet" priority="883">
      <iconSet iconSet="3Arrows">
        <cfvo type="percent" val="0"/>
        <cfvo type="formula" val="$AS$54"/>
        <cfvo type="formula" val="$AS$54" gte="0"/>
      </iconSet>
    </cfRule>
  </conditionalFormatting>
  <conditionalFormatting sqref="AQ42">
    <cfRule type="iconSet" priority="882">
      <iconSet iconSet="3Arrows">
        <cfvo type="percent" val="0"/>
        <cfvo type="formula" val="$AS$42"/>
        <cfvo type="formula" val="$AS$42" gte="0"/>
      </iconSet>
    </cfRule>
  </conditionalFormatting>
  <conditionalFormatting sqref="AQ17">
    <cfRule type="iconSet" priority="881">
      <iconSet iconSet="3Arrows">
        <cfvo type="percent" val="0"/>
        <cfvo type="formula" val="$AS$17"/>
        <cfvo type="formula" val="$AS$17" gte="0"/>
      </iconSet>
    </cfRule>
  </conditionalFormatting>
  <conditionalFormatting sqref="AQ29">
    <cfRule type="iconSet" priority="880">
      <iconSet iconSet="3Arrows">
        <cfvo type="percent" val="0"/>
        <cfvo type="formula" val="$AS$29"/>
        <cfvo type="formula" val="$AS$29" gte="0"/>
      </iconSet>
    </cfRule>
  </conditionalFormatting>
  <conditionalFormatting sqref="AQ55">
    <cfRule type="iconSet" priority="879">
      <iconSet iconSet="3Arrows">
        <cfvo type="percent" val="0"/>
        <cfvo type="formula" val="$AS$55"/>
        <cfvo type="formula" val="$AS$55" gte="0"/>
      </iconSet>
    </cfRule>
  </conditionalFormatting>
  <conditionalFormatting sqref="AQ18">
    <cfRule type="iconSet" priority="878">
      <iconSet iconSet="3Arrows">
        <cfvo type="percent" val="0"/>
        <cfvo type="formula" val="$AS$18"/>
        <cfvo type="formula" val="$AS$18" gte="0"/>
      </iconSet>
    </cfRule>
  </conditionalFormatting>
  <conditionalFormatting sqref="AQ30">
    <cfRule type="iconSet" priority="877">
      <iconSet iconSet="3Arrows">
        <cfvo type="percent" val="0"/>
        <cfvo type="formula" val="$AS$30"/>
        <cfvo type="formula" val="$AS$30" gte="0"/>
      </iconSet>
    </cfRule>
  </conditionalFormatting>
  <conditionalFormatting sqref="AQ46">
    <cfRule type="iconSet" priority="876">
      <iconSet iconSet="3Arrows">
        <cfvo type="percent" val="0"/>
        <cfvo type="formula" val="$AS$46"/>
        <cfvo type="formula" val="$AS$46" gte="0"/>
      </iconSet>
    </cfRule>
  </conditionalFormatting>
  <conditionalFormatting sqref="AQ47">
    <cfRule type="iconSet" priority="875">
      <iconSet iconSet="3Arrows">
        <cfvo type="percent" val="0"/>
        <cfvo type="formula" val="$AS$47"/>
        <cfvo type="formula" val="$AS$47" gte="0"/>
      </iconSet>
    </cfRule>
  </conditionalFormatting>
  <conditionalFormatting sqref="AQ61">
    <cfRule type="iconSet" priority="874">
      <iconSet iconSet="3Arrows">
        <cfvo type="percent" val="0"/>
        <cfvo type="formula" val="$AS$61"/>
        <cfvo type="formula" val="$AS$61" gte="0"/>
      </iconSet>
    </cfRule>
  </conditionalFormatting>
  <conditionalFormatting sqref="AQ57">
    <cfRule type="iconSet" priority="873">
      <iconSet iconSet="3Arrows">
        <cfvo type="percent" val="0"/>
        <cfvo type="formula" val="$AS$57"/>
        <cfvo type="formula" val="$AS$57" gte="0"/>
      </iconSet>
    </cfRule>
  </conditionalFormatting>
  <conditionalFormatting sqref="AQ34">
    <cfRule type="iconSet" priority="872">
      <iconSet iconSet="3Arrows">
        <cfvo type="percent" val="0"/>
        <cfvo type="formula" val="$AS$34"/>
        <cfvo type="formula" val="$AS$34" gte="0"/>
      </iconSet>
    </cfRule>
  </conditionalFormatting>
  <conditionalFormatting sqref="AQ48">
    <cfRule type="iconSet" priority="871">
      <iconSet iconSet="3Arrows">
        <cfvo type="percent" val="0"/>
        <cfvo type="formula" val="$AS$48"/>
        <cfvo type="formula" val="$AS$48" gte="0"/>
      </iconSet>
    </cfRule>
  </conditionalFormatting>
  <conditionalFormatting sqref="AQ35">
    <cfRule type="iconSet" priority="870">
      <iconSet iconSet="3Arrows">
        <cfvo type="percent" val="0"/>
        <cfvo type="formula" val="$AS$35"/>
        <cfvo type="formula" val="$AS$35" gte="0"/>
      </iconSet>
    </cfRule>
  </conditionalFormatting>
  <conditionalFormatting sqref="AQ62">
    <cfRule type="iconSet" priority="869">
      <iconSet iconSet="3Arrows">
        <cfvo type="percent" val="0"/>
        <cfvo type="formula" val="$AS$62"/>
        <cfvo type="formula" val="$AS$62" gte="0"/>
      </iconSet>
    </cfRule>
  </conditionalFormatting>
  <conditionalFormatting sqref="AQ36">
    <cfRule type="iconSet" priority="868">
      <iconSet iconSet="3Arrows">
        <cfvo type="percent" val="0"/>
        <cfvo type="formula" val="$AS$36"/>
        <cfvo type="formula" val="$AS$36" gte="0"/>
      </iconSet>
    </cfRule>
  </conditionalFormatting>
  <conditionalFormatting sqref="AQ69">
    <cfRule type="iconSet" priority="867">
      <iconSet iconSet="3Arrows">
        <cfvo type="percent" val="0"/>
        <cfvo type="formula" val="$AS$69"/>
        <cfvo type="formula" val="$AS$69" gte="0"/>
      </iconSet>
    </cfRule>
  </conditionalFormatting>
  <conditionalFormatting sqref="AQ70">
    <cfRule type="iconSet" priority="866">
      <iconSet iconSet="3Arrows">
        <cfvo type="percent" val="0"/>
        <cfvo type="formula" val="$AS$70"/>
        <cfvo type="formula" val="$AS$70" gte="0"/>
      </iconSet>
    </cfRule>
  </conditionalFormatting>
  <conditionalFormatting sqref="AQ71">
    <cfRule type="iconSet" priority="865">
      <iconSet iconSet="3Arrows">
        <cfvo type="percent" val="0"/>
        <cfvo type="formula" val="$AS$71"/>
        <cfvo type="formula" val="$AS$71" gte="0"/>
      </iconSet>
    </cfRule>
  </conditionalFormatting>
  <conditionalFormatting sqref="AQ72">
    <cfRule type="iconSet" priority="864">
      <iconSet iconSet="3Arrows">
        <cfvo type="percent" val="0"/>
        <cfvo type="formula" val="$AS$72"/>
        <cfvo type="formula" val="$AS$72" gte="0"/>
      </iconSet>
    </cfRule>
  </conditionalFormatting>
  <conditionalFormatting sqref="AQ73">
    <cfRule type="iconSet" priority="863">
      <iconSet iconSet="3Arrows">
        <cfvo type="percent" val="0"/>
        <cfvo type="formula" val="$AS$73"/>
        <cfvo type="formula" val="$AS$73" gte="0"/>
      </iconSet>
    </cfRule>
  </conditionalFormatting>
  <conditionalFormatting sqref="AT6">
    <cfRule type="iconSet" priority="862">
      <iconSet iconSet="3Arrows">
        <cfvo type="percent" val="0"/>
        <cfvo type="formula" val="$AV$6"/>
        <cfvo type="formula" val="$AV$6" gte="0"/>
      </iconSet>
    </cfRule>
  </conditionalFormatting>
  <conditionalFormatting sqref="AT37">
    <cfRule type="iconSet" priority="861">
      <iconSet iconSet="3Arrows">
        <cfvo type="percent" val="0"/>
        <cfvo type="formula" val="$AV$37"/>
        <cfvo type="formula" val="$AV$37" gte="0"/>
      </iconSet>
    </cfRule>
  </conditionalFormatting>
  <conditionalFormatting sqref="AT20">
    <cfRule type="iconSet" priority="860">
      <iconSet iconSet="3Arrows">
        <cfvo type="percent" val="0"/>
        <cfvo type="formula" val="$AV$20"/>
        <cfvo type="formula" val="$AV$20" gte="0"/>
      </iconSet>
    </cfRule>
  </conditionalFormatting>
  <conditionalFormatting sqref="AT49">
    <cfRule type="iconSet" priority="859">
      <iconSet iconSet="3Arrows">
        <cfvo type="percent" val="0"/>
        <cfvo type="formula" val="$AV$49"/>
        <cfvo type="formula" val="$AV$49" gte="0"/>
      </iconSet>
    </cfRule>
  </conditionalFormatting>
  <conditionalFormatting sqref="AT7">
    <cfRule type="iconSet" priority="858">
      <iconSet iconSet="3Arrows">
        <cfvo type="percent" val="0"/>
        <cfvo type="formula" val="$AV$7"/>
        <cfvo type="formula" val="$AV$7" gte="0"/>
      </iconSet>
    </cfRule>
  </conditionalFormatting>
  <conditionalFormatting sqref="AT21">
    <cfRule type="iconSet" priority="857">
      <iconSet iconSet="3Arrows">
        <cfvo type="percent" val="0"/>
        <cfvo type="formula" val="$AV$21"/>
        <cfvo type="formula" val="$AV$21" gte="0"/>
      </iconSet>
    </cfRule>
  </conditionalFormatting>
  <conditionalFormatting sqref="AT39">
    <cfRule type="iconSet" priority="856">
      <iconSet iconSet="3Arrows">
        <cfvo type="percent" val="0"/>
        <cfvo type="formula" val="$AV$39"/>
        <cfvo type="formula" val="$AV$39" gte="0"/>
      </iconSet>
    </cfRule>
  </conditionalFormatting>
  <conditionalFormatting sqref="AT51">
    <cfRule type="iconSet" priority="855">
      <iconSet iconSet="3Arrows">
        <cfvo type="percent" val="0"/>
        <cfvo type="formula" val="$AV$51"/>
        <cfvo type="formula" val="$AV$51" gte="0"/>
      </iconSet>
    </cfRule>
  </conditionalFormatting>
  <conditionalFormatting sqref="AT23">
    <cfRule type="iconSet" priority="854">
      <iconSet iconSet="3Arrows">
        <cfvo type="percent" val="0"/>
        <cfvo type="formula" val="$AV$23"/>
        <cfvo type="formula" val="$AV$23" gte="0"/>
      </iconSet>
    </cfRule>
  </conditionalFormatting>
  <conditionalFormatting sqref="AT52">
    <cfRule type="iconSet" priority="853">
      <iconSet iconSet="3Arrows">
        <cfvo type="percent" val="0"/>
        <cfvo type="formula" val="$AV$52"/>
        <cfvo type="formula" val="$AV$52" gte="0"/>
      </iconSet>
    </cfRule>
  </conditionalFormatting>
  <conditionalFormatting sqref="AT53">
    <cfRule type="iconSet" priority="852">
      <iconSet iconSet="3Arrows">
        <cfvo type="percent" val="0"/>
        <cfvo type="formula" val="$AV$53"/>
        <cfvo type="formula" val="$AV$53" gte="0"/>
      </iconSet>
    </cfRule>
  </conditionalFormatting>
  <conditionalFormatting sqref="AT9">
    <cfRule type="iconSet" priority="851">
      <iconSet iconSet="3Arrows">
        <cfvo type="percent" val="0"/>
        <cfvo type="formula" val="$AV$9"/>
        <cfvo type="formula" val="$AV$9" gte="0"/>
      </iconSet>
    </cfRule>
  </conditionalFormatting>
  <conditionalFormatting sqref="AT26">
    <cfRule type="iconSet" priority="850">
      <iconSet iconSet="3Arrows">
        <cfvo type="percent" val="0"/>
        <cfvo type="formula" val="$AV$26"/>
        <cfvo type="formula" val="$AV$26" gte="0"/>
      </iconSet>
    </cfRule>
  </conditionalFormatting>
  <conditionalFormatting sqref="AT12">
    <cfRule type="iconSet" priority="849">
      <iconSet iconSet="3Arrows">
        <cfvo type="percent" val="0"/>
        <cfvo type="formula" val="$AV$12"/>
        <cfvo type="formula" val="$AV$12" gte="0"/>
      </iconSet>
    </cfRule>
  </conditionalFormatting>
  <conditionalFormatting sqref="AT13">
    <cfRule type="iconSet" priority="848">
      <iconSet iconSet="3Arrows">
        <cfvo type="percent" val="0"/>
        <cfvo type="formula" val="$AV$13"/>
        <cfvo type="formula" val="$AV$13" gte="0"/>
      </iconSet>
    </cfRule>
  </conditionalFormatting>
  <conditionalFormatting sqref="AT44">
    <cfRule type="iconSet" priority="847">
      <iconSet iconSet="3Arrows">
        <cfvo type="percent" val="0"/>
        <cfvo type="formula" val="$AV$44"/>
        <cfvo type="formula" val="$AV$44" gte="0"/>
      </iconSet>
    </cfRule>
  </conditionalFormatting>
  <conditionalFormatting sqref="AT45">
    <cfRule type="iconSet" priority="846">
      <iconSet iconSet="3Arrows">
        <cfvo type="percent" val="0"/>
        <cfvo type="formula" val="$AV$45"/>
        <cfvo type="formula" val="$AV$45" gte="0"/>
      </iconSet>
    </cfRule>
  </conditionalFormatting>
  <conditionalFormatting sqref="AT54">
    <cfRule type="iconSet" priority="845">
      <iconSet iconSet="3Arrows">
        <cfvo type="percent" val="0"/>
        <cfvo type="formula" val="$AV$54"/>
        <cfvo type="formula" val="$AV$54" gte="0"/>
      </iconSet>
    </cfRule>
  </conditionalFormatting>
  <conditionalFormatting sqref="AT42">
    <cfRule type="iconSet" priority="844">
      <iconSet iconSet="3Arrows">
        <cfvo type="percent" val="0"/>
        <cfvo type="formula" val="$AV$42"/>
        <cfvo type="formula" val="$AV$42" gte="0"/>
      </iconSet>
    </cfRule>
  </conditionalFormatting>
  <conditionalFormatting sqref="AT17">
    <cfRule type="iconSet" priority="843">
      <iconSet iconSet="3Arrows">
        <cfvo type="percent" val="0"/>
        <cfvo type="formula" val="$AV$17"/>
        <cfvo type="formula" val="$AV$17" gte="0"/>
      </iconSet>
    </cfRule>
  </conditionalFormatting>
  <conditionalFormatting sqref="AT29">
    <cfRule type="iconSet" priority="842">
      <iconSet iconSet="3Arrows">
        <cfvo type="percent" val="0"/>
        <cfvo type="formula" val="$AV$29"/>
        <cfvo type="formula" val="$AV$29" gte="0"/>
      </iconSet>
    </cfRule>
  </conditionalFormatting>
  <conditionalFormatting sqref="AT55">
    <cfRule type="iconSet" priority="841">
      <iconSet iconSet="3Arrows">
        <cfvo type="percent" val="0"/>
        <cfvo type="formula" val="$AV$55"/>
        <cfvo type="formula" val="$AV$55" gte="0"/>
      </iconSet>
    </cfRule>
  </conditionalFormatting>
  <conditionalFormatting sqref="AT18">
    <cfRule type="iconSet" priority="840">
      <iconSet iconSet="3Arrows">
        <cfvo type="percent" val="0"/>
        <cfvo type="formula" val="$AV$18"/>
        <cfvo type="formula" val="$AV$18" gte="0"/>
      </iconSet>
    </cfRule>
  </conditionalFormatting>
  <conditionalFormatting sqref="AT30">
    <cfRule type="iconSet" priority="839">
      <iconSet iconSet="3Arrows">
        <cfvo type="percent" val="0"/>
        <cfvo type="formula" val="$AV$30"/>
        <cfvo type="formula" val="$AV$30" gte="0"/>
      </iconSet>
    </cfRule>
  </conditionalFormatting>
  <conditionalFormatting sqref="AT46">
    <cfRule type="iconSet" priority="838">
      <iconSet iconSet="3Arrows">
        <cfvo type="percent" val="0"/>
        <cfvo type="formula" val="$AV$46"/>
        <cfvo type="formula" val="$AV$46" gte="0"/>
      </iconSet>
    </cfRule>
  </conditionalFormatting>
  <conditionalFormatting sqref="AT47">
    <cfRule type="iconSet" priority="837">
      <iconSet iconSet="3Arrows">
        <cfvo type="percent" val="0"/>
        <cfvo type="formula" val="$AV$47"/>
        <cfvo type="formula" val="$AV$47" gte="0"/>
      </iconSet>
    </cfRule>
  </conditionalFormatting>
  <conditionalFormatting sqref="AT61">
    <cfRule type="iconSet" priority="836">
      <iconSet iconSet="3Arrows">
        <cfvo type="percent" val="0"/>
        <cfvo type="formula" val="$AV$61"/>
        <cfvo type="formula" val="$AV$61" gte="0"/>
      </iconSet>
    </cfRule>
  </conditionalFormatting>
  <conditionalFormatting sqref="AT57">
    <cfRule type="iconSet" priority="835">
      <iconSet iconSet="3Arrows">
        <cfvo type="percent" val="0"/>
        <cfvo type="formula" val="$AV$57"/>
        <cfvo type="formula" val="$AV$57" gte="0"/>
      </iconSet>
    </cfRule>
  </conditionalFormatting>
  <conditionalFormatting sqref="AT34">
    <cfRule type="iconSet" priority="834">
      <iconSet iconSet="3Arrows">
        <cfvo type="percent" val="0"/>
        <cfvo type="formula" val="$AV$34"/>
        <cfvo type="formula" val="$AV$34" gte="0"/>
      </iconSet>
    </cfRule>
  </conditionalFormatting>
  <conditionalFormatting sqref="AT48">
    <cfRule type="iconSet" priority="833">
      <iconSet iconSet="3Arrows">
        <cfvo type="percent" val="0"/>
        <cfvo type="formula" val="$AV$48"/>
        <cfvo type="formula" val="$AV$48" gte="0"/>
      </iconSet>
    </cfRule>
  </conditionalFormatting>
  <conditionalFormatting sqref="AT35">
    <cfRule type="iconSet" priority="832">
      <iconSet iconSet="3Arrows">
        <cfvo type="percent" val="0"/>
        <cfvo type="formula" val="$AV$35"/>
        <cfvo type="formula" val="$AV$35" gte="0"/>
      </iconSet>
    </cfRule>
  </conditionalFormatting>
  <conditionalFormatting sqref="AT62">
    <cfRule type="iconSet" priority="831">
      <iconSet iconSet="3Arrows">
        <cfvo type="percent" val="0"/>
        <cfvo type="formula" val="$AV$62"/>
        <cfvo type="formula" val="$AV$62" gte="0"/>
      </iconSet>
    </cfRule>
  </conditionalFormatting>
  <conditionalFormatting sqref="AT36">
    <cfRule type="iconSet" priority="830">
      <iconSet iconSet="3Arrows">
        <cfvo type="percent" val="0"/>
        <cfvo type="formula" val="$AV$36"/>
        <cfvo type="formula" val="$AV$36" gte="0"/>
      </iconSet>
    </cfRule>
  </conditionalFormatting>
  <conditionalFormatting sqref="AT69">
    <cfRule type="iconSet" priority="829">
      <iconSet iconSet="3Arrows">
        <cfvo type="percent" val="0"/>
        <cfvo type="formula" val="$AV$69"/>
        <cfvo type="formula" val="$AV$69" gte="0"/>
      </iconSet>
    </cfRule>
  </conditionalFormatting>
  <conditionalFormatting sqref="AT70">
    <cfRule type="iconSet" priority="828">
      <iconSet iconSet="3Arrows">
        <cfvo type="percent" val="0"/>
        <cfvo type="formula" val="$AV$70"/>
        <cfvo type="formula" val="$AV$70" gte="0"/>
      </iconSet>
    </cfRule>
  </conditionalFormatting>
  <conditionalFormatting sqref="AT71">
    <cfRule type="iconSet" priority="827">
      <iconSet iconSet="3Arrows">
        <cfvo type="percent" val="0"/>
        <cfvo type="formula" val="$AV$71"/>
        <cfvo type="formula" val="$AV$71" gte="0"/>
      </iconSet>
    </cfRule>
  </conditionalFormatting>
  <conditionalFormatting sqref="AT72">
    <cfRule type="iconSet" priority="826">
      <iconSet iconSet="3Arrows">
        <cfvo type="percent" val="0"/>
        <cfvo type="formula" val="$AV$72"/>
        <cfvo type="formula" val="$AV$72" gte="0"/>
      </iconSet>
    </cfRule>
  </conditionalFormatting>
  <conditionalFormatting sqref="AT73">
    <cfRule type="iconSet" priority="825">
      <iconSet iconSet="3Arrows">
        <cfvo type="percent" val="0"/>
        <cfvo type="formula" val="$AV$73"/>
        <cfvo type="formula" val="$AV$73" gte="0"/>
      </iconSet>
    </cfRule>
  </conditionalFormatting>
  <conditionalFormatting sqref="AW6">
    <cfRule type="iconSet" priority="824">
      <iconSet iconSet="3Arrows">
        <cfvo type="percent" val="0"/>
        <cfvo type="formula" val="$AY$6"/>
        <cfvo type="formula" val="$AY$6" gte="0"/>
      </iconSet>
    </cfRule>
  </conditionalFormatting>
  <conditionalFormatting sqref="AW37">
    <cfRule type="iconSet" priority="823">
      <iconSet iconSet="3Arrows">
        <cfvo type="percent" val="0"/>
        <cfvo type="formula" val="$AY$37"/>
        <cfvo type="formula" val="$AY$37" gte="0"/>
      </iconSet>
    </cfRule>
  </conditionalFormatting>
  <conditionalFormatting sqref="AW20">
    <cfRule type="iconSet" priority="822">
      <iconSet iconSet="3Arrows">
        <cfvo type="percent" val="0"/>
        <cfvo type="formula" val="$AY$20"/>
        <cfvo type="formula" val="$AY$20" gte="0"/>
      </iconSet>
    </cfRule>
  </conditionalFormatting>
  <conditionalFormatting sqref="AW49">
    <cfRule type="iconSet" priority="821">
      <iconSet iconSet="3Arrows">
        <cfvo type="percent" val="0"/>
        <cfvo type="formula" val="$AY$49"/>
        <cfvo type="formula" val="$AY$49" gte="0"/>
      </iconSet>
    </cfRule>
  </conditionalFormatting>
  <conditionalFormatting sqref="AW7">
    <cfRule type="iconSet" priority="820">
      <iconSet iconSet="3Arrows">
        <cfvo type="percent" val="0"/>
        <cfvo type="formula" val="$AY$7"/>
        <cfvo type="formula" val="$AY$7" gte="0"/>
      </iconSet>
    </cfRule>
  </conditionalFormatting>
  <conditionalFormatting sqref="AW21">
    <cfRule type="iconSet" priority="819">
      <iconSet iconSet="3Arrows">
        <cfvo type="percent" val="0"/>
        <cfvo type="formula" val="$AY$21"/>
        <cfvo type="formula" val="$AY$21" gte="0"/>
      </iconSet>
    </cfRule>
  </conditionalFormatting>
  <conditionalFormatting sqref="AW39">
    <cfRule type="iconSet" priority="818">
      <iconSet iconSet="3Arrows">
        <cfvo type="percent" val="0"/>
        <cfvo type="formula" val="$AY$39"/>
        <cfvo type="formula" val="$AY$39" gte="0"/>
      </iconSet>
    </cfRule>
  </conditionalFormatting>
  <conditionalFormatting sqref="AW51">
    <cfRule type="iconSet" priority="817">
      <iconSet iconSet="3Arrows">
        <cfvo type="percent" val="0"/>
        <cfvo type="formula" val="$AY$51"/>
        <cfvo type="formula" val="$AY$51" gte="0"/>
      </iconSet>
    </cfRule>
  </conditionalFormatting>
  <conditionalFormatting sqref="AW23">
    <cfRule type="iconSet" priority="816">
      <iconSet iconSet="3Arrows">
        <cfvo type="percent" val="0"/>
        <cfvo type="formula" val="$AY$23"/>
        <cfvo type="formula" val="$AY$23" gte="0"/>
      </iconSet>
    </cfRule>
  </conditionalFormatting>
  <conditionalFormatting sqref="AW52">
    <cfRule type="iconSet" priority="815">
      <iconSet iconSet="3Arrows">
        <cfvo type="percent" val="0"/>
        <cfvo type="formula" val="$AY$52"/>
        <cfvo type="formula" val="$AY$52" gte="0"/>
      </iconSet>
    </cfRule>
  </conditionalFormatting>
  <conditionalFormatting sqref="AW53">
    <cfRule type="iconSet" priority="814">
      <iconSet iconSet="3Arrows">
        <cfvo type="percent" val="0"/>
        <cfvo type="formula" val="$AY$53"/>
        <cfvo type="formula" val="$AY$53" gte="0"/>
      </iconSet>
    </cfRule>
  </conditionalFormatting>
  <conditionalFormatting sqref="AW9">
    <cfRule type="iconSet" priority="813">
      <iconSet iconSet="3Arrows">
        <cfvo type="percent" val="0"/>
        <cfvo type="formula" val="$AY$9"/>
        <cfvo type="formula" val="$AY$9" gte="0"/>
      </iconSet>
    </cfRule>
  </conditionalFormatting>
  <conditionalFormatting sqref="AW26">
    <cfRule type="iconSet" priority="812">
      <iconSet iconSet="3Arrows">
        <cfvo type="percent" val="0"/>
        <cfvo type="formula" val="$AY$26"/>
        <cfvo type="formula" val="$AY$26" gte="0"/>
      </iconSet>
    </cfRule>
  </conditionalFormatting>
  <conditionalFormatting sqref="AW12">
    <cfRule type="iconSet" priority="811">
      <iconSet iconSet="3Arrows">
        <cfvo type="percent" val="0"/>
        <cfvo type="formula" val="$AY$12"/>
        <cfvo type="formula" val="$AY$12" gte="0"/>
      </iconSet>
    </cfRule>
  </conditionalFormatting>
  <conditionalFormatting sqref="AW13">
    <cfRule type="iconSet" priority="810">
      <iconSet iconSet="3Arrows">
        <cfvo type="percent" val="0"/>
        <cfvo type="formula" val="$AY$13"/>
        <cfvo type="formula" val="$AY$13" gte="0"/>
      </iconSet>
    </cfRule>
  </conditionalFormatting>
  <conditionalFormatting sqref="AW44">
    <cfRule type="iconSet" priority="809">
      <iconSet iconSet="3Arrows">
        <cfvo type="percent" val="0"/>
        <cfvo type="formula" val="$AY$44"/>
        <cfvo type="formula" val="$AY$44" gte="0"/>
      </iconSet>
    </cfRule>
  </conditionalFormatting>
  <conditionalFormatting sqref="AW45">
    <cfRule type="iconSet" priority="808">
      <iconSet iconSet="3Arrows">
        <cfvo type="percent" val="0"/>
        <cfvo type="formula" val="$AY$45"/>
        <cfvo type="formula" val="$AY$45" gte="0"/>
      </iconSet>
    </cfRule>
  </conditionalFormatting>
  <conditionalFormatting sqref="AW54">
    <cfRule type="iconSet" priority="807">
      <iconSet iconSet="3Arrows">
        <cfvo type="percent" val="0"/>
        <cfvo type="formula" val="$AY$54"/>
        <cfvo type="formula" val="$AY$54" gte="0"/>
      </iconSet>
    </cfRule>
  </conditionalFormatting>
  <conditionalFormatting sqref="AW42">
    <cfRule type="iconSet" priority="806">
      <iconSet iconSet="3Arrows">
        <cfvo type="percent" val="0"/>
        <cfvo type="formula" val="$AY$42"/>
        <cfvo type="formula" val="$AY$42" gte="0"/>
      </iconSet>
    </cfRule>
  </conditionalFormatting>
  <conditionalFormatting sqref="AW17">
    <cfRule type="iconSet" priority="805">
      <iconSet iconSet="3Arrows">
        <cfvo type="percent" val="0"/>
        <cfvo type="formula" val="$AY$17"/>
        <cfvo type="formula" val="$AY$17" gte="0"/>
      </iconSet>
    </cfRule>
  </conditionalFormatting>
  <conditionalFormatting sqref="AW29">
    <cfRule type="iconSet" priority="804">
      <iconSet iconSet="3Arrows">
        <cfvo type="percent" val="0"/>
        <cfvo type="formula" val="$AY$29"/>
        <cfvo type="formula" val="$AY$29" gte="0"/>
      </iconSet>
    </cfRule>
  </conditionalFormatting>
  <conditionalFormatting sqref="AW55">
    <cfRule type="iconSet" priority="803">
      <iconSet iconSet="3Arrows">
        <cfvo type="percent" val="0"/>
        <cfvo type="formula" val="$AY$55"/>
        <cfvo type="formula" val="$AY$55" gte="0"/>
      </iconSet>
    </cfRule>
  </conditionalFormatting>
  <conditionalFormatting sqref="AW18">
    <cfRule type="iconSet" priority="802">
      <iconSet iconSet="3Arrows">
        <cfvo type="percent" val="0"/>
        <cfvo type="formula" val="$AY$18"/>
        <cfvo type="formula" val="$AY$18" gte="0"/>
      </iconSet>
    </cfRule>
  </conditionalFormatting>
  <conditionalFormatting sqref="AW30">
    <cfRule type="iconSet" priority="801">
      <iconSet iconSet="3Arrows">
        <cfvo type="percent" val="0"/>
        <cfvo type="formula" val="$AY$30"/>
        <cfvo type="formula" val="$AY$30" gte="0"/>
      </iconSet>
    </cfRule>
  </conditionalFormatting>
  <conditionalFormatting sqref="AW46">
    <cfRule type="iconSet" priority="800">
      <iconSet iconSet="3Arrows">
        <cfvo type="percent" val="0"/>
        <cfvo type="formula" val="$AY$46"/>
        <cfvo type="formula" val="$AY$46" gte="0"/>
      </iconSet>
    </cfRule>
  </conditionalFormatting>
  <conditionalFormatting sqref="AW47">
    <cfRule type="iconSet" priority="799">
      <iconSet iconSet="3Arrows">
        <cfvo type="percent" val="0"/>
        <cfvo type="formula" val="$AY$47"/>
        <cfvo type="formula" val="$AY$47" gte="0"/>
      </iconSet>
    </cfRule>
  </conditionalFormatting>
  <conditionalFormatting sqref="AW61">
    <cfRule type="iconSet" priority="798">
      <iconSet iconSet="3Arrows">
        <cfvo type="percent" val="0"/>
        <cfvo type="formula" val="$AY$61"/>
        <cfvo type="formula" val="$AY$61" gte="0"/>
      </iconSet>
    </cfRule>
  </conditionalFormatting>
  <conditionalFormatting sqref="AW57">
    <cfRule type="iconSet" priority="797">
      <iconSet iconSet="3Arrows">
        <cfvo type="percent" val="0"/>
        <cfvo type="formula" val="$AY$57"/>
        <cfvo type="formula" val="$AY$57" gte="0"/>
      </iconSet>
    </cfRule>
  </conditionalFormatting>
  <conditionalFormatting sqref="AW34">
    <cfRule type="iconSet" priority="796">
      <iconSet iconSet="3Arrows">
        <cfvo type="percent" val="0"/>
        <cfvo type="formula" val="$AY$34"/>
        <cfvo type="formula" val="$AY$34" gte="0"/>
      </iconSet>
    </cfRule>
  </conditionalFormatting>
  <conditionalFormatting sqref="AW48">
    <cfRule type="iconSet" priority="795">
      <iconSet iconSet="3Arrows">
        <cfvo type="percent" val="0"/>
        <cfvo type="formula" val="$AY$48"/>
        <cfvo type="formula" val="$AY$48" gte="0"/>
      </iconSet>
    </cfRule>
  </conditionalFormatting>
  <conditionalFormatting sqref="AW35">
    <cfRule type="iconSet" priority="794">
      <iconSet iconSet="3Arrows">
        <cfvo type="percent" val="0"/>
        <cfvo type="formula" val="$AY$35"/>
        <cfvo type="formula" val="$AY$35" gte="0"/>
      </iconSet>
    </cfRule>
  </conditionalFormatting>
  <conditionalFormatting sqref="AW62">
    <cfRule type="iconSet" priority="793">
      <iconSet iconSet="3Arrows">
        <cfvo type="percent" val="0"/>
        <cfvo type="formula" val="$AY$62"/>
        <cfvo type="formula" val="$AY$62" gte="0"/>
      </iconSet>
    </cfRule>
  </conditionalFormatting>
  <conditionalFormatting sqref="AW36">
    <cfRule type="iconSet" priority="792">
      <iconSet iconSet="3Arrows">
        <cfvo type="percent" val="0"/>
        <cfvo type="formula" val="$AY$36"/>
        <cfvo type="formula" val="$AY$36" gte="0"/>
      </iconSet>
    </cfRule>
  </conditionalFormatting>
  <conditionalFormatting sqref="AW69">
    <cfRule type="iconSet" priority="791">
      <iconSet iconSet="3Arrows">
        <cfvo type="percent" val="0"/>
        <cfvo type="formula" val="$AY$69"/>
        <cfvo type="formula" val="$AY$69" gte="0"/>
      </iconSet>
    </cfRule>
  </conditionalFormatting>
  <conditionalFormatting sqref="AW70">
    <cfRule type="iconSet" priority="790">
      <iconSet iconSet="3Arrows">
        <cfvo type="percent" val="0"/>
        <cfvo type="formula" val="$AY$70"/>
        <cfvo type="formula" val="$AY$70" gte="0"/>
      </iconSet>
    </cfRule>
  </conditionalFormatting>
  <conditionalFormatting sqref="AW71">
    <cfRule type="iconSet" priority="789">
      <iconSet iconSet="3Arrows">
        <cfvo type="percent" val="0"/>
        <cfvo type="formula" val="$AY$71"/>
        <cfvo type="formula" val="$AY$71" gte="0"/>
      </iconSet>
    </cfRule>
  </conditionalFormatting>
  <conditionalFormatting sqref="AW72">
    <cfRule type="iconSet" priority="788">
      <iconSet iconSet="3Arrows">
        <cfvo type="percent" val="0"/>
        <cfvo type="formula" val="$AY$72"/>
        <cfvo type="formula" val="$AY$72" gte="0"/>
      </iconSet>
    </cfRule>
  </conditionalFormatting>
  <conditionalFormatting sqref="AW73">
    <cfRule type="iconSet" priority="787">
      <iconSet iconSet="3Arrows">
        <cfvo type="percent" val="0"/>
        <cfvo type="formula" val="$AY$73"/>
        <cfvo type="formula" val="$AY$73" gte="0"/>
      </iconSet>
    </cfRule>
  </conditionalFormatting>
  <conditionalFormatting sqref="AZ6">
    <cfRule type="iconSet" priority="786">
      <iconSet iconSet="3Arrows">
        <cfvo type="percent" val="0"/>
        <cfvo type="formula" val="$BB$6"/>
        <cfvo type="formula" val="$BB$6" gte="0"/>
      </iconSet>
    </cfRule>
  </conditionalFormatting>
  <conditionalFormatting sqref="AZ37">
    <cfRule type="iconSet" priority="785">
      <iconSet iconSet="3Arrows">
        <cfvo type="percent" val="0"/>
        <cfvo type="formula" val="$BB$37"/>
        <cfvo type="formula" val="$BB$37" gte="0"/>
      </iconSet>
    </cfRule>
  </conditionalFormatting>
  <conditionalFormatting sqref="AZ20">
    <cfRule type="iconSet" priority="784">
      <iconSet iconSet="3Arrows">
        <cfvo type="percent" val="0"/>
        <cfvo type="formula" val="$BB$20"/>
        <cfvo type="formula" val="$BB$20" gte="0"/>
      </iconSet>
    </cfRule>
  </conditionalFormatting>
  <conditionalFormatting sqref="AZ49">
    <cfRule type="iconSet" priority="783">
      <iconSet iconSet="3Arrows">
        <cfvo type="percent" val="0"/>
        <cfvo type="formula" val="$BB$49"/>
        <cfvo type="formula" val="$BB$49" gte="0"/>
      </iconSet>
    </cfRule>
  </conditionalFormatting>
  <conditionalFormatting sqref="AZ7">
    <cfRule type="iconSet" priority="782">
      <iconSet iconSet="3Arrows">
        <cfvo type="percent" val="0"/>
        <cfvo type="formula" val="$BB$7"/>
        <cfvo type="formula" val="$BB$7" gte="0"/>
      </iconSet>
    </cfRule>
  </conditionalFormatting>
  <conditionalFormatting sqref="AZ21">
    <cfRule type="iconSet" priority="781">
      <iconSet iconSet="3Arrows">
        <cfvo type="percent" val="0"/>
        <cfvo type="formula" val="$BB$21"/>
        <cfvo type="formula" val="$BB$21" gte="0"/>
      </iconSet>
    </cfRule>
  </conditionalFormatting>
  <conditionalFormatting sqref="AZ39">
    <cfRule type="iconSet" priority="780">
      <iconSet iconSet="3Arrows">
        <cfvo type="percent" val="0"/>
        <cfvo type="formula" val="$BB$39"/>
        <cfvo type="formula" val="$BB$39" gte="0"/>
      </iconSet>
    </cfRule>
  </conditionalFormatting>
  <conditionalFormatting sqref="AZ51">
    <cfRule type="iconSet" priority="779">
      <iconSet iconSet="3Arrows">
        <cfvo type="percent" val="0"/>
        <cfvo type="formula" val="$BB$51"/>
        <cfvo type="formula" val="$BB$51" gte="0"/>
      </iconSet>
    </cfRule>
  </conditionalFormatting>
  <conditionalFormatting sqref="AZ23">
    <cfRule type="iconSet" priority="778">
      <iconSet iconSet="3Arrows">
        <cfvo type="percent" val="0"/>
        <cfvo type="formula" val="$BB$23"/>
        <cfvo type="formula" val="$BB$23" gte="0"/>
      </iconSet>
    </cfRule>
  </conditionalFormatting>
  <conditionalFormatting sqref="AZ52">
    <cfRule type="iconSet" priority="777">
      <iconSet iconSet="3Arrows">
        <cfvo type="percent" val="0"/>
        <cfvo type="formula" val="$BB$52"/>
        <cfvo type="formula" val="$BB$52" gte="0"/>
      </iconSet>
    </cfRule>
  </conditionalFormatting>
  <conditionalFormatting sqref="AZ53">
    <cfRule type="iconSet" priority="776">
      <iconSet iconSet="3Arrows">
        <cfvo type="percent" val="0"/>
        <cfvo type="formula" val="$BB$53"/>
        <cfvo type="formula" val="$BB$53" gte="0"/>
      </iconSet>
    </cfRule>
  </conditionalFormatting>
  <conditionalFormatting sqref="AZ9">
    <cfRule type="iconSet" priority="775">
      <iconSet iconSet="3Arrows">
        <cfvo type="percent" val="0"/>
        <cfvo type="formula" val="$BB$9"/>
        <cfvo type="formula" val="$BB$9" gte="0"/>
      </iconSet>
    </cfRule>
  </conditionalFormatting>
  <conditionalFormatting sqref="AZ26">
    <cfRule type="iconSet" priority="774">
      <iconSet iconSet="3Arrows">
        <cfvo type="percent" val="0"/>
        <cfvo type="formula" val="$BB$26"/>
        <cfvo type="formula" val="$BB$26" gte="0"/>
      </iconSet>
    </cfRule>
  </conditionalFormatting>
  <conditionalFormatting sqref="AZ12">
    <cfRule type="iconSet" priority="773">
      <iconSet iconSet="3Arrows">
        <cfvo type="percent" val="0"/>
        <cfvo type="formula" val="$BB$12"/>
        <cfvo type="formula" val="$BB$12" gte="0"/>
      </iconSet>
    </cfRule>
  </conditionalFormatting>
  <conditionalFormatting sqref="AZ13">
    <cfRule type="iconSet" priority="772">
      <iconSet iconSet="3Arrows">
        <cfvo type="percent" val="0"/>
        <cfvo type="formula" val="$BB$13"/>
        <cfvo type="formula" val="$BB$13" gte="0"/>
      </iconSet>
    </cfRule>
  </conditionalFormatting>
  <conditionalFormatting sqref="AZ44">
    <cfRule type="iconSet" priority="771">
      <iconSet iconSet="3Arrows">
        <cfvo type="percent" val="0"/>
        <cfvo type="formula" val="$BB$44"/>
        <cfvo type="formula" val="$BB$44" gte="0"/>
      </iconSet>
    </cfRule>
  </conditionalFormatting>
  <conditionalFormatting sqref="AZ45">
    <cfRule type="iconSet" priority="770">
      <iconSet iconSet="3Arrows">
        <cfvo type="percent" val="0"/>
        <cfvo type="formula" val="$BB$45"/>
        <cfvo type="formula" val="$BB$45" gte="0"/>
      </iconSet>
    </cfRule>
  </conditionalFormatting>
  <conditionalFormatting sqref="AZ54">
    <cfRule type="iconSet" priority="769">
      <iconSet iconSet="3Arrows">
        <cfvo type="percent" val="0"/>
        <cfvo type="formula" val="$BB$54"/>
        <cfvo type="formula" val="$BB$54" gte="0"/>
      </iconSet>
    </cfRule>
  </conditionalFormatting>
  <conditionalFormatting sqref="AZ42">
    <cfRule type="iconSet" priority="768">
      <iconSet iconSet="3Arrows">
        <cfvo type="percent" val="0"/>
        <cfvo type="formula" val="$BB$42"/>
        <cfvo type="formula" val="$BB$42" gte="0"/>
      </iconSet>
    </cfRule>
  </conditionalFormatting>
  <conditionalFormatting sqref="AZ17">
    <cfRule type="iconSet" priority="767">
      <iconSet iconSet="3Arrows">
        <cfvo type="percent" val="0"/>
        <cfvo type="formula" val="$BB$17"/>
        <cfvo type="formula" val="$BB$17" gte="0"/>
      </iconSet>
    </cfRule>
  </conditionalFormatting>
  <conditionalFormatting sqref="AZ29">
    <cfRule type="iconSet" priority="766">
      <iconSet iconSet="3Arrows">
        <cfvo type="percent" val="0"/>
        <cfvo type="formula" val="$BB$29"/>
        <cfvo type="formula" val="$BB$29" gte="0"/>
      </iconSet>
    </cfRule>
  </conditionalFormatting>
  <conditionalFormatting sqref="AZ55">
    <cfRule type="iconSet" priority="765">
      <iconSet iconSet="3Arrows">
        <cfvo type="percent" val="0"/>
        <cfvo type="formula" val="$BB$55"/>
        <cfvo type="formula" val="$BB$55" gte="0"/>
      </iconSet>
    </cfRule>
  </conditionalFormatting>
  <conditionalFormatting sqref="AZ18">
    <cfRule type="iconSet" priority="764">
      <iconSet iconSet="3Arrows">
        <cfvo type="percent" val="0"/>
        <cfvo type="formula" val="$BB$18"/>
        <cfvo type="formula" val="$BB$18" gte="0"/>
      </iconSet>
    </cfRule>
  </conditionalFormatting>
  <conditionalFormatting sqref="AZ30">
    <cfRule type="iconSet" priority="763">
      <iconSet iconSet="3Arrows">
        <cfvo type="percent" val="0"/>
        <cfvo type="formula" val="$BB$30"/>
        <cfvo type="formula" val="$BB$30" gte="0"/>
      </iconSet>
    </cfRule>
  </conditionalFormatting>
  <conditionalFormatting sqref="AZ46">
    <cfRule type="iconSet" priority="762">
      <iconSet iconSet="3Arrows">
        <cfvo type="percent" val="0"/>
        <cfvo type="formula" val="$BB$46"/>
        <cfvo type="formula" val="$BB$46" gte="0"/>
      </iconSet>
    </cfRule>
  </conditionalFormatting>
  <conditionalFormatting sqref="AZ47">
    <cfRule type="iconSet" priority="761">
      <iconSet iconSet="3Arrows">
        <cfvo type="percent" val="0"/>
        <cfvo type="formula" val="$BB$47"/>
        <cfvo type="formula" val="$BB$47" gte="0"/>
      </iconSet>
    </cfRule>
  </conditionalFormatting>
  <conditionalFormatting sqref="AZ61">
    <cfRule type="iconSet" priority="760">
      <iconSet iconSet="3Arrows">
        <cfvo type="percent" val="0"/>
        <cfvo type="formula" val="$BB$61"/>
        <cfvo type="formula" val="$BB$61" gte="0"/>
      </iconSet>
    </cfRule>
  </conditionalFormatting>
  <conditionalFormatting sqref="AZ57">
    <cfRule type="iconSet" priority="759">
      <iconSet iconSet="3Arrows">
        <cfvo type="percent" val="0"/>
        <cfvo type="formula" val="$BB$57"/>
        <cfvo type="formula" val="$BB$57" gte="0"/>
      </iconSet>
    </cfRule>
  </conditionalFormatting>
  <conditionalFormatting sqref="AZ34">
    <cfRule type="iconSet" priority="758">
      <iconSet iconSet="3Arrows">
        <cfvo type="percent" val="0"/>
        <cfvo type="formula" val="$BB$34"/>
        <cfvo type="formula" val="$BB$34" gte="0"/>
      </iconSet>
    </cfRule>
  </conditionalFormatting>
  <conditionalFormatting sqref="AZ48">
    <cfRule type="iconSet" priority="757">
      <iconSet iconSet="3Arrows">
        <cfvo type="percent" val="0"/>
        <cfvo type="formula" val="$BB$48"/>
        <cfvo type="formula" val="$BB$48" gte="0"/>
      </iconSet>
    </cfRule>
  </conditionalFormatting>
  <conditionalFormatting sqref="AZ35">
    <cfRule type="iconSet" priority="756">
      <iconSet iconSet="3Arrows">
        <cfvo type="percent" val="0"/>
        <cfvo type="formula" val="$BB$35"/>
        <cfvo type="formula" val="$BB$35" gte="0"/>
      </iconSet>
    </cfRule>
  </conditionalFormatting>
  <conditionalFormatting sqref="AZ62">
    <cfRule type="iconSet" priority="755">
      <iconSet iconSet="3Arrows">
        <cfvo type="percent" val="0"/>
        <cfvo type="formula" val="$BB$62"/>
        <cfvo type="formula" val="$BB$62" gte="0"/>
      </iconSet>
    </cfRule>
  </conditionalFormatting>
  <conditionalFormatting sqref="AZ36">
    <cfRule type="iconSet" priority="754">
      <iconSet iconSet="3Arrows">
        <cfvo type="percent" val="0"/>
        <cfvo type="formula" val="$BB$36"/>
        <cfvo type="formula" val="$BB$36" gte="0"/>
      </iconSet>
    </cfRule>
  </conditionalFormatting>
  <conditionalFormatting sqref="AZ69">
    <cfRule type="iconSet" priority="753">
      <iconSet iconSet="3Arrows">
        <cfvo type="percent" val="0"/>
        <cfvo type="formula" val="$BB$69"/>
        <cfvo type="formula" val="$BB$69" gte="0"/>
      </iconSet>
    </cfRule>
  </conditionalFormatting>
  <conditionalFormatting sqref="AZ70">
    <cfRule type="iconSet" priority="752">
      <iconSet iconSet="3Arrows">
        <cfvo type="percent" val="0"/>
        <cfvo type="formula" val="$BB$70"/>
        <cfvo type="formula" val="$BB$70" gte="0"/>
      </iconSet>
    </cfRule>
  </conditionalFormatting>
  <conditionalFormatting sqref="AZ71">
    <cfRule type="iconSet" priority="751">
      <iconSet iconSet="3Arrows">
        <cfvo type="percent" val="0"/>
        <cfvo type="formula" val="$BB$71"/>
        <cfvo type="formula" val="$BB$71" gte="0"/>
      </iconSet>
    </cfRule>
  </conditionalFormatting>
  <conditionalFormatting sqref="AZ72">
    <cfRule type="iconSet" priority="750">
      <iconSet iconSet="3Arrows">
        <cfvo type="percent" val="0"/>
        <cfvo type="formula" val="$BB$72"/>
        <cfvo type="formula" val="$BB$72" gte="0"/>
      </iconSet>
    </cfRule>
  </conditionalFormatting>
  <conditionalFormatting sqref="AZ73">
    <cfRule type="iconSet" priority="749">
      <iconSet iconSet="3Arrows">
        <cfvo type="percent" val="0"/>
        <cfvo type="formula" val="$BB$73"/>
        <cfvo type="formula" val="$BB$73" gte="0"/>
      </iconSet>
    </cfRule>
  </conditionalFormatting>
  <conditionalFormatting sqref="BC6">
    <cfRule type="iconSet" priority="748">
      <iconSet iconSet="3Arrows">
        <cfvo type="percent" val="0"/>
        <cfvo type="formula" val="$BE$6"/>
        <cfvo type="formula" val="$BE$6" gte="0"/>
      </iconSet>
    </cfRule>
  </conditionalFormatting>
  <conditionalFormatting sqref="BC37">
    <cfRule type="iconSet" priority="747">
      <iconSet iconSet="3Arrows">
        <cfvo type="percent" val="0"/>
        <cfvo type="formula" val="$BE$37"/>
        <cfvo type="formula" val="$BE$37" gte="0"/>
      </iconSet>
    </cfRule>
  </conditionalFormatting>
  <conditionalFormatting sqref="BC20">
    <cfRule type="iconSet" priority="746">
      <iconSet iconSet="3Arrows">
        <cfvo type="percent" val="0"/>
        <cfvo type="formula" val="$BE$20"/>
        <cfvo type="formula" val="$BE$20" gte="0"/>
      </iconSet>
    </cfRule>
  </conditionalFormatting>
  <conditionalFormatting sqref="BC49">
    <cfRule type="iconSet" priority="745">
      <iconSet iconSet="3Arrows">
        <cfvo type="percent" val="0"/>
        <cfvo type="formula" val="$BE$49"/>
        <cfvo type="formula" val="$BE$49" gte="0"/>
      </iconSet>
    </cfRule>
  </conditionalFormatting>
  <conditionalFormatting sqref="BC7">
    <cfRule type="iconSet" priority="744">
      <iconSet iconSet="3Arrows">
        <cfvo type="percent" val="0"/>
        <cfvo type="formula" val="$BE$7"/>
        <cfvo type="formula" val="$BE$7" gte="0"/>
      </iconSet>
    </cfRule>
  </conditionalFormatting>
  <conditionalFormatting sqref="BC21">
    <cfRule type="iconSet" priority="743">
      <iconSet iconSet="3Arrows">
        <cfvo type="percent" val="0"/>
        <cfvo type="formula" val="$BE$21"/>
        <cfvo type="formula" val="$BE$21" gte="0"/>
      </iconSet>
    </cfRule>
  </conditionalFormatting>
  <conditionalFormatting sqref="BC39">
    <cfRule type="iconSet" priority="742">
      <iconSet iconSet="3Arrows">
        <cfvo type="percent" val="0"/>
        <cfvo type="formula" val="$BE$39"/>
        <cfvo type="formula" val="$BE$39" gte="0"/>
      </iconSet>
    </cfRule>
  </conditionalFormatting>
  <conditionalFormatting sqref="BC51">
    <cfRule type="iconSet" priority="741">
      <iconSet iconSet="3Arrows">
        <cfvo type="percent" val="0"/>
        <cfvo type="formula" val="$BE$51"/>
        <cfvo type="formula" val="$BE$51" gte="0"/>
      </iconSet>
    </cfRule>
  </conditionalFormatting>
  <conditionalFormatting sqref="BC23">
    <cfRule type="iconSet" priority="740">
      <iconSet iconSet="3Arrows">
        <cfvo type="percent" val="0"/>
        <cfvo type="formula" val="$BE$23"/>
        <cfvo type="formula" val="$BE$23" gte="0"/>
      </iconSet>
    </cfRule>
  </conditionalFormatting>
  <conditionalFormatting sqref="BC52">
    <cfRule type="iconSet" priority="739">
      <iconSet iconSet="3Arrows">
        <cfvo type="percent" val="0"/>
        <cfvo type="formula" val="$BE$52"/>
        <cfvo type="formula" val="$BE$52" gte="0"/>
      </iconSet>
    </cfRule>
  </conditionalFormatting>
  <conditionalFormatting sqref="BC53">
    <cfRule type="iconSet" priority="738">
      <iconSet iconSet="3Arrows">
        <cfvo type="percent" val="0"/>
        <cfvo type="formula" val="$BE$53"/>
        <cfvo type="formula" val="$BE$53" gte="0"/>
      </iconSet>
    </cfRule>
  </conditionalFormatting>
  <conditionalFormatting sqref="BC9">
    <cfRule type="iconSet" priority="737">
      <iconSet iconSet="3Arrows">
        <cfvo type="percent" val="0"/>
        <cfvo type="formula" val="$BE$9"/>
        <cfvo type="formula" val="$BE$9" gte="0"/>
      </iconSet>
    </cfRule>
  </conditionalFormatting>
  <conditionalFormatting sqref="BC26">
    <cfRule type="iconSet" priority="736">
      <iconSet iconSet="3Arrows">
        <cfvo type="percent" val="0"/>
        <cfvo type="formula" val="$BE$26"/>
        <cfvo type="formula" val="$BE$26" gte="0"/>
      </iconSet>
    </cfRule>
  </conditionalFormatting>
  <conditionalFormatting sqref="BC12">
    <cfRule type="iconSet" priority="735">
      <iconSet iconSet="3Arrows">
        <cfvo type="percent" val="0"/>
        <cfvo type="formula" val="$BE$12"/>
        <cfvo type="formula" val="$BE$12" gte="0"/>
      </iconSet>
    </cfRule>
  </conditionalFormatting>
  <conditionalFormatting sqref="BC13">
    <cfRule type="iconSet" priority="734">
      <iconSet iconSet="3Arrows">
        <cfvo type="percent" val="0"/>
        <cfvo type="formula" val="$BE$13"/>
        <cfvo type="formula" val="$BE$13" gte="0"/>
      </iconSet>
    </cfRule>
  </conditionalFormatting>
  <conditionalFormatting sqref="BC44">
    <cfRule type="iconSet" priority="733">
      <iconSet iconSet="3Arrows">
        <cfvo type="percent" val="0"/>
        <cfvo type="formula" val="$BE$44"/>
        <cfvo type="formula" val="$BE$44" gte="0"/>
      </iconSet>
    </cfRule>
  </conditionalFormatting>
  <conditionalFormatting sqref="BC45">
    <cfRule type="iconSet" priority="732">
      <iconSet iconSet="3Arrows">
        <cfvo type="percent" val="0"/>
        <cfvo type="formula" val="$BE$45"/>
        <cfvo type="formula" val="$BE$45" gte="0"/>
      </iconSet>
    </cfRule>
  </conditionalFormatting>
  <conditionalFormatting sqref="BC54">
    <cfRule type="iconSet" priority="731">
      <iconSet iconSet="3Arrows">
        <cfvo type="percent" val="0"/>
        <cfvo type="formula" val="$BE$54"/>
        <cfvo type="formula" val="$BE$54" gte="0"/>
      </iconSet>
    </cfRule>
  </conditionalFormatting>
  <conditionalFormatting sqref="BC42">
    <cfRule type="iconSet" priority="730">
      <iconSet iconSet="3Arrows">
        <cfvo type="percent" val="0"/>
        <cfvo type="formula" val="$BE$42"/>
        <cfvo type="formula" val="$BE$42" gte="0"/>
      </iconSet>
    </cfRule>
  </conditionalFormatting>
  <conditionalFormatting sqref="BC17">
    <cfRule type="iconSet" priority="729">
      <iconSet iconSet="3Arrows">
        <cfvo type="percent" val="0"/>
        <cfvo type="formula" val="$BE$17"/>
        <cfvo type="formula" val="$BE$17" gte="0"/>
      </iconSet>
    </cfRule>
  </conditionalFormatting>
  <conditionalFormatting sqref="BC29">
    <cfRule type="iconSet" priority="728">
      <iconSet iconSet="3Arrows">
        <cfvo type="percent" val="0"/>
        <cfvo type="formula" val="$BE$29"/>
        <cfvo type="formula" val="$BE$29" gte="0"/>
      </iconSet>
    </cfRule>
  </conditionalFormatting>
  <conditionalFormatting sqref="BC55">
    <cfRule type="iconSet" priority="727">
      <iconSet iconSet="3Arrows">
        <cfvo type="percent" val="0"/>
        <cfvo type="formula" val="$BE$55"/>
        <cfvo type="formula" val="$BE$55" gte="0"/>
      </iconSet>
    </cfRule>
  </conditionalFormatting>
  <conditionalFormatting sqref="BC18">
    <cfRule type="iconSet" priority="726">
      <iconSet iconSet="3Arrows">
        <cfvo type="percent" val="0"/>
        <cfvo type="formula" val="$BE$18"/>
        <cfvo type="formula" val="$BE$18" gte="0"/>
      </iconSet>
    </cfRule>
  </conditionalFormatting>
  <conditionalFormatting sqref="BC30">
    <cfRule type="iconSet" priority="725">
      <iconSet iconSet="3Arrows">
        <cfvo type="percent" val="0"/>
        <cfvo type="formula" val="$BE$30"/>
        <cfvo type="formula" val="$BE$30" gte="0"/>
      </iconSet>
    </cfRule>
  </conditionalFormatting>
  <conditionalFormatting sqref="BC46">
    <cfRule type="iconSet" priority="724">
      <iconSet iconSet="3Arrows">
        <cfvo type="percent" val="0"/>
        <cfvo type="formula" val="$BE$46"/>
        <cfvo type="formula" val="$BE$46" gte="0"/>
      </iconSet>
    </cfRule>
  </conditionalFormatting>
  <conditionalFormatting sqref="BC47">
    <cfRule type="iconSet" priority="723">
      <iconSet iconSet="3Arrows">
        <cfvo type="percent" val="0"/>
        <cfvo type="formula" val="$BE$47"/>
        <cfvo type="formula" val="$BE$47" gte="0"/>
      </iconSet>
    </cfRule>
  </conditionalFormatting>
  <conditionalFormatting sqref="BC61">
    <cfRule type="iconSet" priority="722">
      <iconSet iconSet="3Arrows">
        <cfvo type="percent" val="0"/>
        <cfvo type="formula" val="$BE$61"/>
        <cfvo type="formula" val="$BE$61" gte="0"/>
      </iconSet>
    </cfRule>
  </conditionalFormatting>
  <conditionalFormatting sqref="BC57">
    <cfRule type="iconSet" priority="721">
      <iconSet iconSet="3Arrows">
        <cfvo type="percent" val="0"/>
        <cfvo type="formula" val="$BE$57"/>
        <cfvo type="formula" val="$BE$57" gte="0"/>
      </iconSet>
    </cfRule>
  </conditionalFormatting>
  <conditionalFormatting sqref="BC34">
    <cfRule type="iconSet" priority="720">
      <iconSet iconSet="3Arrows">
        <cfvo type="percent" val="0"/>
        <cfvo type="formula" val="$BE$34"/>
        <cfvo type="formula" val="$BE$34" gte="0"/>
      </iconSet>
    </cfRule>
  </conditionalFormatting>
  <conditionalFormatting sqref="BC48">
    <cfRule type="iconSet" priority="719">
      <iconSet iconSet="3Arrows">
        <cfvo type="percent" val="0"/>
        <cfvo type="formula" val="$BE$48"/>
        <cfvo type="formula" val="$BE$48" gte="0"/>
      </iconSet>
    </cfRule>
  </conditionalFormatting>
  <conditionalFormatting sqref="BC35">
    <cfRule type="iconSet" priority="718">
      <iconSet iconSet="3Arrows">
        <cfvo type="percent" val="0"/>
        <cfvo type="formula" val="$BE$35"/>
        <cfvo type="formula" val="$BE$35" gte="0"/>
      </iconSet>
    </cfRule>
  </conditionalFormatting>
  <conditionalFormatting sqref="BC62">
    <cfRule type="iconSet" priority="717">
      <iconSet iconSet="3Arrows">
        <cfvo type="percent" val="0"/>
        <cfvo type="formula" val="$BE$62"/>
        <cfvo type="formula" val="$BE$62" gte="0"/>
      </iconSet>
    </cfRule>
  </conditionalFormatting>
  <conditionalFormatting sqref="BC36">
    <cfRule type="iconSet" priority="716">
      <iconSet iconSet="3Arrows">
        <cfvo type="percent" val="0"/>
        <cfvo type="formula" val="$BE$36"/>
        <cfvo type="formula" val="$BE$36" gte="0"/>
      </iconSet>
    </cfRule>
  </conditionalFormatting>
  <conditionalFormatting sqref="BC69">
    <cfRule type="iconSet" priority="715">
      <iconSet iconSet="3Arrows">
        <cfvo type="percent" val="0"/>
        <cfvo type="formula" val="$BE$69"/>
        <cfvo type="formula" val="$BE$69" gte="0"/>
      </iconSet>
    </cfRule>
  </conditionalFormatting>
  <conditionalFormatting sqref="BC70">
    <cfRule type="iconSet" priority="714">
      <iconSet iconSet="3Arrows">
        <cfvo type="percent" val="0"/>
        <cfvo type="formula" val="$BE$70"/>
        <cfvo type="formula" val="$BE$70" gte="0"/>
      </iconSet>
    </cfRule>
  </conditionalFormatting>
  <conditionalFormatting sqref="BC71">
    <cfRule type="iconSet" priority="713">
      <iconSet iconSet="3Arrows">
        <cfvo type="percent" val="0"/>
        <cfvo type="formula" val="$BE$71"/>
        <cfvo type="formula" val="$BE$71" gte="0"/>
      </iconSet>
    </cfRule>
  </conditionalFormatting>
  <conditionalFormatting sqref="BC72">
    <cfRule type="iconSet" priority="712">
      <iconSet iconSet="3Arrows">
        <cfvo type="percent" val="0"/>
        <cfvo type="formula" val="$BE$72"/>
        <cfvo type="formula" val="$BE$72" gte="0"/>
      </iconSet>
    </cfRule>
  </conditionalFormatting>
  <conditionalFormatting sqref="BC73">
    <cfRule type="iconSet" priority="711">
      <iconSet iconSet="3Arrows">
        <cfvo type="percent" val="0"/>
        <cfvo type="formula" val="$BE$73"/>
        <cfvo type="formula" val="$BE$73" gte="0"/>
      </iconSet>
    </cfRule>
  </conditionalFormatting>
  <conditionalFormatting sqref="BF6">
    <cfRule type="iconSet" priority="710">
      <iconSet iconSet="3Arrows">
        <cfvo type="percent" val="0"/>
        <cfvo type="formula" val="$BH$6"/>
        <cfvo type="formula" val="$BH$6" gte="0"/>
      </iconSet>
    </cfRule>
  </conditionalFormatting>
  <conditionalFormatting sqref="BF37">
    <cfRule type="iconSet" priority="709">
      <iconSet iconSet="3Arrows">
        <cfvo type="percent" val="0"/>
        <cfvo type="formula" val="$BH$37"/>
        <cfvo type="formula" val="$BH$37" gte="0"/>
      </iconSet>
    </cfRule>
  </conditionalFormatting>
  <conditionalFormatting sqref="BF20">
    <cfRule type="iconSet" priority="708">
      <iconSet iconSet="3Arrows">
        <cfvo type="percent" val="0"/>
        <cfvo type="formula" val="$BH$20"/>
        <cfvo type="formula" val="$BH$20" gte="0"/>
      </iconSet>
    </cfRule>
  </conditionalFormatting>
  <conditionalFormatting sqref="BF49">
    <cfRule type="iconSet" priority="707">
      <iconSet iconSet="3Arrows">
        <cfvo type="percent" val="0"/>
        <cfvo type="formula" val="$BH$49"/>
        <cfvo type="formula" val="$BH$49" gte="0"/>
      </iconSet>
    </cfRule>
  </conditionalFormatting>
  <conditionalFormatting sqref="BF7">
    <cfRule type="iconSet" priority="706">
      <iconSet iconSet="3Arrows">
        <cfvo type="percent" val="0"/>
        <cfvo type="formula" val="$BH$7"/>
        <cfvo type="formula" val="$BH$7" gte="0"/>
      </iconSet>
    </cfRule>
  </conditionalFormatting>
  <conditionalFormatting sqref="BF21">
    <cfRule type="iconSet" priority="705">
      <iconSet iconSet="3Arrows">
        <cfvo type="percent" val="0"/>
        <cfvo type="formula" val="$BH$21"/>
        <cfvo type="formula" val="$BH$21" gte="0"/>
      </iconSet>
    </cfRule>
  </conditionalFormatting>
  <conditionalFormatting sqref="BF39">
    <cfRule type="iconSet" priority="704">
      <iconSet iconSet="3Arrows">
        <cfvo type="percent" val="0"/>
        <cfvo type="formula" val="$BH$39"/>
        <cfvo type="formula" val="$BH$39" gte="0"/>
      </iconSet>
    </cfRule>
  </conditionalFormatting>
  <conditionalFormatting sqref="BF51">
    <cfRule type="iconSet" priority="703">
      <iconSet iconSet="3Arrows">
        <cfvo type="percent" val="0"/>
        <cfvo type="formula" val="$BH$51"/>
        <cfvo type="formula" val="$BH$51" gte="0"/>
      </iconSet>
    </cfRule>
  </conditionalFormatting>
  <conditionalFormatting sqref="BF23">
    <cfRule type="iconSet" priority="702">
      <iconSet iconSet="3Arrows">
        <cfvo type="percent" val="0"/>
        <cfvo type="formula" val="$BH$23"/>
        <cfvo type="formula" val="$BH$23" gte="0"/>
      </iconSet>
    </cfRule>
  </conditionalFormatting>
  <conditionalFormatting sqref="BF52">
    <cfRule type="iconSet" priority="701">
      <iconSet iconSet="3Arrows">
        <cfvo type="percent" val="0"/>
        <cfvo type="formula" val="$BH$52"/>
        <cfvo type="formula" val="$BH$52" gte="0"/>
      </iconSet>
    </cfRule>
  </conditionalFormatting>
  <conditionalFormatting sqref="BF53">
    <cfRule type="iconSet" priority="700">
      <iconSet iconSet="3Arrows">
        <cfvo type="percent" val="0"/>
        <cfvo type="formula" val="$BH$53"/>
        <cfvo type="formula" val="$BH$53" gte="0"/>
      </iconSet>
    </cfRule>
  </conditionalFormatting>
  <conditionalFormatting sqref="BF9">
    <cfRule type="iconSet" priority="699">
      <iconSet iconSet="3Arrows">
        <cfvo type="percent" val="0"/>
        <cfvo type="formula" val="$BH$9"/>
        <cfvo type="formula" val="$BH$9" gte="0"/>
      </iconSet>
    </cfRule>
  </conditionalFormatting>
  <conditionalFormatting sqref="BF26">
    <cfRule type="iconSet" priority="698">
      <iconSet iconSet="3Arrows">
        <cfvo type="percent" val="0"/>
        <cfvo type="formula" val="$BH$26"/>
        <cfvo type="formula" val="$BH$26" gte="0"/>
      </iconSet>
    </cfRule>
  </conditionalFormatting>
  <conditionalFormatting sqref="BF12">
    <cfRule type="iconSet" priority="697">
      <iconSet iconSet="3Arrows">
        <cfvo type="percent" val="0"/>
        <cfvo type="formula" val="$BH$12"/>
        <cfvo type="formula" val="$BH$12" gte="0"/>
      </iconSet>
    </cfRule>
  </conditionalFormatting>
  <conditionalFormatting sqref="BF13">
    <cfRule type="iconSet" priority="696">
      <iconSet iconSet="3Arrows">
        <cfvo type="percent" val="0"/>
        <cfvo type="formula" val="$BH$13"/>
        <cfvo type="formula" val="$BH$13" gte="0"/>
      </iconSet>
    </cfRule>
  </conditionalFormatting>
  <conditionalFormatting sqref="BF44">
    <cfRule type="iconSet" priority="695">
      <iconSet iconSet="3Arrows">
        <cfvo type="percent" val="0"/>
        <cfvo type="formula" val="$BH$44"/>
        <cfvo type="formula" val="$BH$44" gte="0"/>
      </iconSet>
    </cfRule>
  </conditionalFormatting>
  <conditionalFormatting sqref="BF45">
    <cfRule type="iconSet" priority="694">
      <iconSet iconSet="3Arrows">
        <cfvo type="percent" val="0"/>
        <cfvo type="formula" val="$BH$45"/>
        <cfvo type="formula" val="$BH$45" gte="0"/>
      </iconSet>
    </cfRule>
  </conditionalFormatting>
  <conditionalFormatting sqref="BF54">
    <cfRule type="iconSet" priority="693">
      <iconSet iconSet="3Arrows">
        <cfvo type="percent" val="0"/>
        <cfvo type="formula" val="$BH$54"/>
        <cfvo type="formula" val="$BH$54" gte="0"/>
      </iconSet>
    </cfRule>
  </conditionalFormatting>
  <conditionalFormatting sqref="BF42">
    <cfRule type="iconSet" priority="692">
      <iconSet iconSet="3Arrows">
        <cfvo type="percent" val="0"/>
        <cfvo type="formula" val="$BH$42"/>
        <cfvo type="formula" val="$BH$42" gte="0"/>
      </iconSet>
    </cfRule>
  </conditionalFormatting>
  <conditionalFormatting sqref="BF17">
    <cfRule type="iconSet" priority="691">
      <iconSet iconSet="3Arrows">
        <cfvo type="percent" val="0"/>
        <cfvo type="formula" val="$BH$17"/>
        <cfvo type="formula" val="$BH$17" gte="0"/>
      </iconSet>
    </cfRule>
  </conditionalFormatting>
  <conditionalFormatting sqref="BF29">
    <cfRule type="iconSet" priority="690">
      <iconSet iconSet="3Arrows">
        <cfvo type="percent" val="0"/>
        <cfvo type="formula" val="$BH$29"/>
        <cfvo type="formula" val="$BH$29" gte="0"/>
      </iconSet>
    </cfRule>
  </conditionalFormatting>
  <conditionalFormatting sqref="BF55">
    <cfRule type="iconSet" priority="689">
      <iconSet iconSet="3Arrows">
        <cfvo type="percent" val="0"/>
        <cfvo type="formula" val="$BH$55"/>
        <cfvo type="formula" val="$BH$55" gte="0"/>
      </iconSet>
    </cfRule>
  </conditionalFormatting>
  <conditionalFormatting sqref="BF18">
    <cfRule type="iconSet" priority="688">
      <iconSet iconSet="3Arrows">
        <cfvo type="percent" val="0"/>
        <cfvo type="formula" val="$BH$18"/>
        <cfvo type="formula" val="$BH$18" gte="0"/>
      </iconSet>
    </cfRule>
  </conditionalFormatting>
  <conditionalFormatting sqref="BF30">
    <cfRule type="iconSet" priority="687">
      <iconSet iconSet="3Arrows">
        <cfvo type="percent" val="0"/>
        <cfvo type="formula" val="$BH$30"/>
        <cfvo type="formula" val="$BH$30" gte="0"/>
      </iconSet>
    </cfRule>
  </conditionalFormatting>
  <conditionalFormatting sqref="BF46">
    <cfRule type="iconSet" priority="686">
      <iconSet iconSet="3Arrows">
        <cfvo type="percent" val="0"/>
        <cfvo type="formula" val="$BH$46"/>
        <cfvo type="formula" val="$BH$46" gte="0"/>
      </iconSet>
    </cfRule>
  </conditionalFormatting>
  <conditionalFormatting sqref="BF47">
    <cfRule type="iconSet" priority="685">
      <iconSet iconSet="3Arrows">
        <cfvo type="percent" val="0"/>
        <cfvo type="formula" val="$BH$47"/>
        <cfvo type="formula" val="$BH$47" gte="0"/>
      </iconSet>
    </cfRule>
  </conditionalFormatting>
  <conditionalFormatting sqref="BF61">
    <cfRule type="iconSet" priority="684">
      <iconSet iconSet="3Arrows">
        <cfvo type="percent" val="0"/>
        <cfvo type="formula" val="$BH$61"/>
        <cfvo type="formula" val="$BH$61" gte="0"/>
      </iconSet>
    </cfRule>
  </conditionalFormatting>
  <conditionalFormatting sqref="BF57">
    <cfRule type="iconSet" priority="683">
      <iconSet iconSet="3Arrows">
        <cfvo type="percent" val="0"/>
        <cfvo type="formula" val="$BH$57"/>
        <cfvo type="formula" val="$BH$57" gte="0"/>
      </iconSet>
    </cfRule>
  </conditionalFormatting>
  <conditionalFormatting sqref="BF34">
    <cfRule type="iconSet" priority="682">
      <iconSet iconSet="3Arrows">
        <cfvo type="percent" val="0"/>
        <cfvo type="formula" val="$BH$34"/>
        <cfvo type="formula" val="$BH$34" gte="0"/>
      </iconSet>
    </cfRule>
  </conditionalFormatting>
  <conditionalFormatting sqref="BF48">
    <cfRule type="iconSet" priority="681">
      <iconSet iconSet="3Arrows">
        <cfvo type="percent" val="0"/>
        <cfvo type="formula" val="$BH$48"/>
        <cfvo type="formula" val="$BH$48" gte="0"/>
      </iconSet>
    </cfRule>
  </conditionalFormatting>
  <conditionalFormatting sqref="BF35">
    <cfRule type="iconSet" priority="680">
      <iconSet iconSet="3Arrows">
        <cfvo type="percent" val="0"/>
        <cfvo type="formula" val="$BH$35"/>
        <cfvo type="formula" val="$BH$35" gte="0"/>
      </iconSet>
    </cfRule>
  </conditionalFormatting>
  <conditionalFormatting sqref="BF62">
    <cfRule type="iconSet" priority="679">
      <iconSet iconSet="3Arrows">
        <cfvo type="percent" val="0"/>
        <cfvo type="formula" val="$BH$62"/>
        <cfvo type="formula" val="$BH$62" gte="0"/>
      </iconSet>
    </cfRule>
  </conditionalFormatting>
  <conditionalFormatting sqref="BF36">
    <cfRule type="iconSet" priority="678">
      <iconSet iconSet="3Arrows">
        <cfvo type="percent" val="0"/>
        <cfvo type="formula" val="$BH$36"/>
        <cfvo type="formula" val="$BH$36" gte="0"/>
      </iconSet>
    </cfRule>
  </conditionalFormatting>
  <conditionalFormatting sqref="BF69">
    <cfRule type="iconSet" priority="677">
      <iconSet iconSet="3Arrows">
        <cfvo type="percent" val="0"/>
        <cfvo type="formula" val="$BH$69"/>
        <cfvo type="formula" val="$BH$69" gte="0"/>
      </iconSet>
    </cfRule>
  </conditionalFormatting>
  <conditionalFormatting sqref="BF70">
    <cfRule type="iconSet" priority="676">
      <iconSet iconSet="3Arrows">
        <cfvo type="percent" val="0"/>
        <cfvo type="formula" val="$BH$70"/>
        <cfvo type="formula" val="$BH$70" gte="0"/>
      </iconSet>
    </cfRule>
  </conditionalFormatting>
  <conditionalFormatting sqref="BF71">
    <cfRule type="iconSet" priority="675">
      <iconSet iconSet="3Arrows">
        <cfvo type="percent" val="0"/>
        <cfvo type="formula" val="$BH$71"/>
        <cfvo type="formula" val="$BH$71" gte="0"/>
      </iconSet>
    </cfRule>
  </conditionalFormatting>
  <conditionalFormatting sqref="BF72">
    <cfRule type="iconSet" priority="674">
      <iconSet iconSet="3Arrows">
        <cfvo type="percent" val="0"/>
        <cfvo type="formula" val="$BH$72"/>
        <cfvo type="formula" val="$BH$72" gte="0"/>
      </iconSet>
    </cfRule>
  </conditionalFormatting>
  <conditionalFormatting sqref="BF73">
    <cfRule type="iconSet" priority="673">
      <iconSet iconSet="3Arrows">
        <cfvo type="percent" val="0"/>
        <cfvo type="formula" val="$BH$73"/>
        <cfvo type="formula" val="$BH$73" gte="0"/>
      </iconSet>
    </cfRule>
  </conditionalFormatting>
  <conditionalFormatting sqref="BI6">
    <cfRule type="iconSet" priority="672">
      <iconSet iconSet="3Arrows">
        <cfvo type="percent" val="0"/>
        <cfvo type="formula" val="$BK$6"/>
        <cfvo type="formula" val="$BK$6" gte="0"/>
      </iconSet>
    </cfRule>
  </conditionalFormatting>
  <conditionalFormatting sqref="BI37">
    <cfRule type="iconSet" priority="671">
      <iconSet iconSet="3Arrows">
        <cfvo type="percent" val="0"/>
        <cfvo type="formula" val="$BK$37"/>
        <cfvo type="formula" val="$BK$37" gte="0"/>
      </iconSet>
    </cfRule>
  </conditionalFormatting>
  <conditionalFormatting sqref="BI20">
    <cfRule type="iconSet" priority="670">
      <iconSet iconSet="3Arrows">
        <cfvo type="percent" val="0"/>
        <cfvo type="formula" val="$BK$20"/>
        <cfvo type="formula" val="$BK$20" gte="0"/>
      </iconSet>
    </cfRule>
  </conditionalFormatting>
  <conditionalFormatting sqref="BI49">
    <cfRule type="iconSet" priority="669">
      <iconSet iconSet="3Arrows">
        <cfvo type="percent" val="0"/>
        <cfvo type="formula" val="$BK$49"/>
        <cfvo type="formula" val="$BK$49" gte="0"/>
      </iconSet>
    </cfRule>
  </conditionalFormatting>
  <conditionalFormatting sqref="BI7">
    <cfRule type="iconSet" priority="668">
      <iconSet iconSet="3Arrows">
        <cfvo type="percent" val="0"/>
        <cfvo type="formula" val="$BK$7"/>
        <cfvo type="formula" val="$BK$7" gte="0"/>
      </iconSet>
    </cfRule>
  </conditionalFormatting>
  <conditionalFormatting sqref="BI21">
    <cfRule type="iconSet" priority="667">
      <iconSet iconSet="3Arrows">
        <cfvo type="percent" val="0"/>
        <cfvo type="formula" val="$BK$21"/>
        <cfvo type="formula" val="$BK$21" gte="0"/>
      </iconSet>
    </cfRule>
  </conditionalFormatting>
  <conditionalFormatting sqref="BI39">
    <cfRule type="iconSet" priority="666">
      <iconSet iconSet="3Arrows">
        <cfvo type="percent" val="0"/>
        <cfvo type="formula" val="$BK$39"/>
        <cfvo type="formula" val="$BK$39" gte="0"/>
      </iconSet>
    </cfRule>
  </conditionalFormatting>
  <conditionalFormatting sqref="BI51">
    <cfRule type="iconSet" priority="665">
      <iconSet iconSet="3Arrows">
        <cfvo type="percent" val="0"/>
        <cfvo type="formula" val="$BK$51"/>
        <cfvo type="formula" val="$BK$51" gte="0"/>
      </iconSet>
    </cfRule>
  </conditionalFormatting>
  <conditionalFormatting sqref="BI23">
    <cfRule type="iconSet" priority="664">
      <iconSet iconSet="3Arrows">
        <cfvo type="percent" val="0"/>
        <cfvo type="formula" val="$BK$23"/>
        <cfvo type="formula" val="$BK$23" gte="0"/>
      </iconSet>
    </cfRule>
  </conditionalFormatting>
  <conditionalFormatting sqref="BI52">
    <cfRule type="iconSet" priority="663">
      <iconSet iconSet="3Arrows">
        <cfvo type="percent" val="0"/>
        <cfvo type="formula" val="$BK$52"/>
        <cfvo type="formula" val="$BK$52" gte="0"/>
      </iconSet>
    </cfRule>
  </conditionalFormatting>
  <conditionalFormatting sqref="BI53">
    <cfRule type="iconSet" priority="662">
      <iconSet iconSet="3Arrows">
        <cfvo type="percent" val="0"/>
        <cfvo type="formula" val="$BK$53"/>
        <cfvo type="formula" val="$BK$53" gte="0"/>
      </iconSet>
    </cfRule>
  </conditionalFormatting>
  <conditionalFormatting sqref="BI9">
    <cfRule type="iconSet" priority="661">
      <iconSet iconSet="3Arrows">
        <cfvo type="percent" val="0"/>
        <cfvo type="formula" val="$BK$9"/>
        <cfvo type="formula" val="$BK$9" gte="0"/>
      </iconSet>
    </cfRule>
  </conditionalFormatting>
  <conditionalFormatting sqref="BI26">
    <cfRule type="iconSet" priority="660">
      <iconSet iconSet="3Arrows">
        <cfvo type="percent" val="0"/>
        <cfvo type="formula" val="$BK$26"/>
        <cfvo type="formula" val="$BK$26" gte="0"/>
      </iconSet>
    </cfRule>
  </conditionalFormatting>
  <conditionalFormatting sqref="BI12">
    <cfRule type="iconSet" priority="659">
      <iconSet iconSet="3Arrows">
        <cfvo type="percent" val="0"/>
        <cfvo type="formula" val="$BK$12"/>
        <cfvo type="formula" val="$BK$12" gte="0"/>
      </iconSet>
    </cfRule>
  </conditionalFormatting>
  <conditionalFormatting sqref="BI13">
    <cfRule type="iconSet" priority="658">
      <iconSet iconSet="3Arrows">
        <cfvo type="percent" val="0"/>
        <cfvo type="formula" val="$BK$13"/>
        <cfvo type="formula" val="$BK$13" gte="0"/>
      </iconSet>
    </cfRule>
  </conditionalFormatting>
  <conditionalFormatting sqref="BI44">
    <cfRule type="iconSet" priority="657">
      <iconSet iconSet="3Arrows">
        <cfvo type="percent" val="0"/>
        <cfvo type="formula" val="$BK$44"/>
        <cfvo type="formula" val="$BK$44" gte="0"/>
      </iconSet>
    </cfRule>
  </conditionalFormatting>
  <conditionalFormatting sqref="BI45">
    <cfRule type="iconSet" priority="656">
      <iconSet iconSet="3Arrows">
        <cfvo type="percent" val="0"/>
        <cfvo type="formula" val="$BK$45"/>
        <cfvo type="formula" val="$BK$45" gte="0"/>
      </iconSet>
    </cfRule>
  </conditionalFormatting>
  <conditionalFormatting sqref="BI54">
    <cfRule type="iconSet" priority="655">
      <iconSet iconSet="3Arrows">
        <cfvo type="percent" val="0"/>
        <cfvo type="formula" val="$BK$54"/>
        <cfvo type="formula" val="$BK$54" gte="0"/>
      </iconSet>
    </cfRule>
  </conditionalFormatting>
  <conditionalFormatting sqref="BI42">
    <cfRule type="iconSet" priority="654">
      <iconSet iconSet="3Arrows">
        <cfvo type="percent" val="0"/>
        <cfvo type="formula" val="$BK$42"/>
        <cfvo type="formula" val="$BK$42" gte="0"/>
      </iconSet>
    </cfRule>
  </conditionalFormatting>
  <conditionalFormatting sqref="BI17">
    <cfRule type="iconSet" priority="653">
      <iconSet iconSet="3Arrows">
        <cfvo type="percent" val="0"/>
        <cfvo type="formula" val="$BK$17"/>
        <cfvo type="formula" val="$BK$17" gte="0"/>
      </iconSet>
    </cfRule>
  </conditionalFormatting>
  <conditionalFormatting sqref="BI29">
    <cfRule type="iconSet" priority="652">
      <iconSet iconSet="3Arrows">
        <cfvo type="percent" val="0"/>
        <cfvo type="formula" val="$BK$29"/>
        <cfvo type="formula" val="$BK$29" gte="0"/>
      </iconSet>
    </cfRule>
  </conditionalFormatting>
  <conditionalFormatting sqref="BI55">
    <cfRule type="iconSet" priority="651">
      <iconSet iconSet="3Arrows">
        <cfvo type="percent" val="0"/>
        <cfvo type="formula" val="$BK$55"/>
        <cfvo type="formula" val="$BK$55" gte="0"/>
      </iconSet>
    </cfRule>
  </conditionalFormatting>
  <conditionalFormatting sqref="BI18">
    <cfRule type="iconSet" priority="650">
      <iconSet iconSet="3Arrows">
        <cfvo type="percent" val="0"/>
        <cfvo type="formula" val="$BK$18"/>
        <cfvo type="formula" val="$BK$18" gte="0"/>
      </iconSet>
    </cfRule>
  </conditionalFormatting>
  <conditionalFormatting sqref="BI30">
    <cfRule type="iconSet" priority="649">
      <iconSet iconSet="3Arrows">
        <cfvo type="percent" val="0"/>
        <cfvo type="formula" val="$BK$30"/>
        <cfvo type="formula" val="$BK$30" gte="0"/>
      </iconSet>
    </cfRule>
  </conditionalFormatting>
  <conditionalFormatting sqref="BI46">
    <cfRule type="iconSet" priority="648">
      <iconSet iconSet="3Arrows">
        <cfvo type="percent" val="0"/>
        <cfvo type="formula" val="$BK$46"/>
        <cfvo type="formula" val="$BK$46" gte="0"/>
      </iconSet>
    </cfRule>
  </conditionalFormatting>
  <conditionalFormatting sqref="BI47">
    <cfRule type="iconSet" priority="647">
      <iconSet iconSet="3Arrows">
        <cfvo type="percent" val="0"/>
        <cfvo type="formula" val="$BK$47"/>
        <cfvo type="formula" val="$BK$47" gte="0"/>
      </iconSet>
    </cfRule>
  </conditionalFormatting>
  <conditionalFormatting sqref="BI61">
    <cfRule type="iconSet" priority="646">
      <iconSet iconSet="3Arrows">
        <cfvo type="percent" val="0"/>
        <cfvo type="formula" val="$BK$61"/>
        <cfvo type="formula" val="$BK$61" gte="0"/>
      </iconSet>
    </cfRule>
  </conditionalFormatting>
  <conditionalFormatting sqref="BI57">
    <cfRule type="iconSet" priority="645">
      <iconSet iconSet="3Arrows">
        <cfvo type="percent" val="0"/>
        <cfvo type="formula" val="$BK$57"/>
        <cfvo type="formula" val="$BK$57" gte="0"/>
      </iconSet>
    </cfRule>
  </conditionalFormatting>
  <conditionalFormatting sqref="BI34">
    <cfRule type="iconSet" priority="644">
      <iconSet iconSet="3Arrows">
        <cfvo type="percent" val="0"/>
        <cfvo type="formula" val="$BK$34"/>
        <cfvo type="formula" val="$BK$34" gte="0"/>
      </iconSet>
    </cfRule>
  </conditionalFormatting>
  <conditionalFormatting sqref="BI48">
    <cfRule type="iconSet" priority="643">
      <iconSet iconSet="3Arrows">
        <cfvo type="percent" val="0"/>
        <cfvo type="formula" val="$BK$48"/>
        <cfvo type="formula" val="$BK$48" gte="0"/>
      </iconSet>
    </cfRule>
  </conditionalFormatting>
  <conditionalFormatting sqref="BI35">
    <cfRule type="iconSet" priority="642">
      <iconSet iconSet="3Arrows">
        <cfvo type="percent" val="0"/>
        <cfvo type="formula" val="$BK$35"/>
        <cfvo type="formula" val="$BK$35" gte="0"/>
      </iconSet>
    </cfRule>
  </conditionalFormatting>
  <conditionalFormatting sqref="BI62">
    <cfRule type="iconSet" priority="641">
      <iconSet iconSet="3Arrows">
        <cfvo type="percent" val="0"/>
        <cfvo type="formula" val="$BK$62"/>
        <cfvo type="formula" val="$BK$62" gte="0"/>
      </iconSet>
    </cfRule>
  </conditionalFormatting>
  <conditionalFormatting sqref="BI36">
    <cfRule type="iconSet" priority="640">
      <iconSet iconSet="3Arrows">
        <cfvo type="percent" val="0"/>
        <cfvo type="formula" val="$BK$36"/>
        <cfvo type="formula" val="$BK$36" gte="0"/>
      </iconSet>
    </cfRule>
  </conditionalFormatting>
  <conditionalFormatting sqref="BI69">
    <cfRule type="iconSet" priority="639">
      <iconSet iconSet="3Arrows">
        <cfvo type="percent" val="0"/>
        <cfvo type="formula" val="$BK$69"/>
        <cfvo type="formula" val="$BK$69" gte="0"/>
      </iconSet>
    </cfRule>
  </conditionalFormatting>
  <conditionalFormatting sqref="BI70">
    <cfRule type="iconSet" priority="638">
      <iconSet iconSet="3Arrows">
        <cfvo type="percent" val="0"/>
        <cfvo type="formula" val="$BK$70"/>
        <cfvo type="formula" val="$BK$70" gte="0"/>
      </iconSet>
    </cfRule>
  </conditionalFormatting>
  <conditionalFormatting sqref="BI71">
    <cfRule type="iconSet" priority="637">
      <iconSet iconSet="3Arrows">
        <cfvo type="percent" val="0"/>
        <cfvo type="formula" val="$BK$71"/>
        <cfvo type="formula" val="$BK$71" gte="0"/>
      </iconSet>
    </cfRule>
  </conditionalFormatting>
  <conditionalFormatting sqref="BI72">
    <cfRule type="iconSet" priority="636">
      <iconSet iconSet="3Arrows">
        <cfvo type="percent" val="0"/>
        <cfvo type="formula" val="$BK$72"/>
        <cfvo type="formula" val="$BK$72" gte="0"/>
      </iconSet>
    </cfRule>
  </conditionalFormatting>
  <conditionalFormatting sqref="BI73">
    <cfRule type="iconSet" priority="635">
      <iconSet iconSet="3Arrows">
        <cfvo type="percent" val="0"/>
        <cfvo type="formula" val="$BK$73"/>
        <cfvo type="formula" val="$BK$73" gte="0"/>
      </iconSet>
    </cfRule>
  </conditionalFormatting>
  <conditionalFormatting sqref="Q6">
    <cfRule type="iconSet" priority="634">
      <iconSet reverse="1">
        <cfvo type="percent" val="0"/>
        <cfvo type="formula" val="$R$6"/>
        <cfvo type="formula" val="$R$6" gte="0"/>
      </iconSet>
    </cfRule>
  </conditionalFormatting>
  <conditionalFormatting sqref="Q37">
    <cfRule type="iconSet" priority="633">
      <iconSet reverse="1">
        <cfvo type="percent" val="0"/>
        <cfvo type="formula" val="$R$37"/>
        <cfvo type="formula" val="$R$37" gte="0"/>
      </iconSet>
    </cfRule>
  </conditionalFormatting>
  <conditionalFormatting sqref="Q20">
    <cfRule type="iconSet" priority="632">
      <iconSet reverse="1">
        <cfvo type="percent" val="0"/>
        <cfvo type="formula" val="$R$20"/>
        <cfvo type="formula" val="$R$20" gte="0"/>
      </iconSet>
    </cfRule>
  </conditionalFormatting>
  <conditionalFormatting sqref="Q38">
    <cfRule type="iconSet" priority="631">
      <iconSet reverse="1">
        <cfvo type="percent" val="0"/>
        <cfvo type="formula" val="$R$38"/>
        <cfvo type="formula" val="$R$38" gte="0"/>
      </iconSet>
    </cfRule>
  </conditionalFormatting>
  <conditionalFormatting sqref="Q49">
    <cfRule type="iconSet" priority="630">
      <iconSet reverse="1">
        <cfvo type="percent" val="0"/>
        <cfvo type="formula" val="$R$49"/>
        <cfvo type="formula" val="$R$49" gte="0"/>
      </iconSet>
    </cfRule>
  </conditionalFormatting>
  <conditionalFormatting sqref="Q58">
    <cfRule type="iconSet" priority="629">
      <iconSet reverse="1">
        <cfvo type="percent" val="0"/>
        <cfvo type="formula" val="$R$58"/>
        <cfvo type="formula" val="$R$58" gte="0"/>
      </iconSet>
    </cfRule>
  </conditionalFormatting>
  <conditionalFormatting sqref="Q7">
    <cfRule type="iconSet" priority="628">
      <iconSet reverse="1">
        <cfvo type="percent" val="0"/>
        <cfvo type="formula" val="$R$7"/>
        <cfvo type="formula" val="$R$7" gte="0"/>
      </iconSet>
    </cfRule>
  </conditionalFormatting>
  <conditionalFormatting sqref="Q21">
    <cfRule type="iconSet" priority="627">
      <iconSet reverse="1">
        <cfvo type="percent" val="0"/>
        <cfvo type="formula" val="$R$21"/>
        <cfvo type="formula" val="$R$21" gte="0"/>
      </iconSet>
    </cfRule>
  </conditionalFormatting>
  <conditionalFormatting sqref="Q59">
    <cfRule type="iconSet" priority="626">
      <iconSet reverse="1">
        <cfvo type="percent" val="0"/>
        <cfvo type="formula" val="$R$59"/>
        <cfvo type="formula" val="$R$59" gte="0"/>
      </iconSet>
    </cfRule>
  </conditionalFormatting>
  <conditionalFormatting sqref="Q50">
    <cfRule type="iconSet" priority="625">
      <iconSet reverse="1">
        <cfvo type="percent" val="0"/>
        <cfvo type="formula" val="$R$50"/>
        <cfvo type="formula" val="$R$50" gte="0"/>
      </iconSet>
    </cfRule>
  </conditionalFormatting>
  <conditionalFormatting sqref="Q22">
    <cfRule type="iconSet" priority="624">
      <iconSet reverse="1">
        <cfvo type="percent" val="0"/>
        <cfvo type="formula" val="$R$22"/>
        <cfvo type="formula" val="$R$22"/>
      </iconSet>
    </cfRule>
  </conditionalFormatting>
  <conditionalFormatting sqref="Q39">
    <cfRule type="iconSet" priority="623">
      <iconSet reverse="1">
        <cfvo type="percent" val="0"/>
        <cfvo type="formula" val="$R$39"/>
        <cfvo type="formula" val="$R$39" gte="0"/>
      </iconSet>
    </cfRule>
  </conditionalFormatting>
  <conditionalFormatting sqref="Q51">
    <cfRule type="iconSet" priority="622">
      <iconSet reverse="1">
        <cfvo type="percent" val="0"/>
        <cfvo type="formula" val="$R$51"/>
        <cfvo type="formula" val="$R$51" gte="0"/>
      </iconSet>
    </cfRule>
  </conditionalFormatting>
  <conditionalFormatting sqref="Q23">
    <cfRule type="iconSet" priority="621">
      <iconSet reverse="1">
        <cfvo type="percent" val="0"/>
        <cfvo type="formula" val="$R$23"/>
        <cfvo type="formula" val="$R$23" gte="0"/>
      </iconSet>
    </cfRule>
  </conditionalFormatting>
  <conditionalFormatting sqref="Q24">
    <cfRule type="iconSet" priority="620">
      <iconSet reverse="1">
        <cfvo type="percent" val="0"/>
        <cfvo type="formula" val="$R$24"/>
        <cfvo type="formula" val="$R$24" gte="0"/>
      </iconSet>
    </cfRule>
  </conditionalFormatting>
  <conditionalFormatting sqref="Q25">
    <cfRule type="iconSet" priority="619">
      <iconSet reverse="1">
        <cfvo type="percent" val="0"/>
        <cfvo type="formula" val="$R$25"/>
        <cfvo type="formula" val="$R$25" gte="0"/>
      </iconSet>
    </cfRule>
  </conditionalFormatting>
  <conditionalFormatting sqref="Q8">
    <cfRule type="iconSet" priority="618">
      <iconSet reverse="1">
        <cfvo type="percent" val="0"/>
        <cfvo type="formula" val="$R$8"/>
        <cfvo type="formula" val="$R$8" gte="0"/>
      </iconSet>
    </cfRule>
  </conditionalFormatting>
  <conditionalFormatting sqref="Q52">
    <cfRule type="iconSet" priority="617">
      <iconSet reverse="1">
        <cfvo type="percent" val="0"/>
        <cfvo type="formula" val="$R$52"/>
        <cfvo type="formula" val="$R$52" gte="0"/>
      </iconSet>
    </cfRule>
  </conditionalFormatting>
  <conditionalFormatting sqref="Q53">
    <cfRule type="iconSet" priority="616">
      <iconSet reverse="1">
        <cfvo type="percent" val="0"/>
        <cfvo type="formula" val="$R$53"/>
        <cfvo type="formula" val="$R$53" gte="0"/>
      </iconSet>
    </cfRule>
  </conditionalFormatting>
  <conditionalFormatting sqref="Q9">
    <cfRule type="iconSet" priority="615">
      <iconSet reverse="1">
        <cfvo type="percent" val="0"/>
        <cfvo type="formula" val="$R$9"/>
        <cfvo type="formula" val="$R$9" gte="0"/>
      </iconSet>
    </cfRule>
  </conditionalFormatting>
  <conditionalFormatting sqref="Q10">
    <cfRule type="iconSet" priority="614">
      <iconSet reverse="1">
        <cfvo type="percent" val="0"/>
        <cfvo type="formula" val="$R$10"/>
        <cfvo type="formula" val="$R$10" gte="0"/>
      </iconSet>
    </cfRule>
  </conditionalFormatting>
  <conditionalFormatting sqref="Q26">
    <cfRule type="iconSet" priority="613">
      <iconSet reverse="1">
        <cfvo type="percent" val="0"/>
        <cfvo type="formula" val="$R$26"/>
        <cfvo type="formula" val="$R$26" gte="0"/>
      </iconSet>
    </cfRule>
  </conditionalFormatting>
  <conditionalFormatting sqref="Q11">
    <cfRule type="iconSet" priority="612">
      <iconSet reverse="1">
        <cfvo type="percent" val="0"/>
        <cfvo type="formula" val="$R$11"/>
        <cfvo type="formula" val="$R$11" gte="0"/>
      </iconSet>
    </cfRule>
  </conditionalFormatting>
  <conditionalFormatting sqref="Q27">
    <cfRule type="iconSet" priority="611">
      <iconSet reverse="1">
        <cfvo type="percent" val="0"/>
        <cfvo type="formula" val="$R$27"/>
        <cfvo type="formula" val="$R$27" gte="0"/>
      </iconSet>
    </cfRule>
  </conditionalFormatting>
  <conditionalFormatting sqref="Q40">
    <cfRule type="iconSet" priority="610">
      <iconSet reverse="1">
        <cfvo type="percent" val="0"/>
        <cfvo type="formula" val="$R$40"/>
        <cfvo type="formula" val="$R$40" gte="0"/>
      </iconSet>
    </cfRule>
  </conditionalFormatting>
  <conditionalFormatting sqref="Q41">
    <cfRule type="iconSet" priority="609">
      <iconSet reverse="1">
        <cfvo type="percent" val="0"/>
        <cfvo type="formula" val="$R$41"/>
        <cfvo type="formula" val="$R$41" gte="0"/>
      </iconSet>
    </cfRule>
  </conditionalFormatting>
  <conditionalFormatting sqref="Q12">
    <cfRule type="iconSet" priority="608">
      <iconSet reverse="1">
        <cfvo type="percent" val="0"/>
        <cfvo type="formula" val="$R$12"/>
        <cfvo type="formula" val="$R$12" gte="0"/>
      </iconSet>
    </cfRule>
  </conditionalFormatting>
  <conditionalFormatting sqref="Q13">
    <cfRule type="iconSet" priority="607">
      <iconSet reverse="1">
        <cfvo type="percent" val="0"/>
        <cfvo type="formula" val="$R$13"/>
        <cfvo type="formula" val="$R$13" gte="0"/>
      </iconSet>
    </cfRule>
  </conditionalFormatting>
  <conditionalFormatting sqref="Q44">
    <cfRule type="iconSet" priority="606">
      <iconSet reverse="1">
        <cfvo type="percent" val="0"/>
        <cfvo type="formula" val="$R$44"/>
        <cfvo type="formula" val="$R$44" gte="0"/>
      </iconSet>
    </cfRule>
  </conditionalFormatting>
  <conditionalFormatting sqref="Q14">
    <cfRule type="iconSet" priority="605">
      <iconSet reverse="1">
        <cfvo type="percent" val="0"/>
        <cfvo type="formula" val="$R$14"/>
        <cfvo type="formula" val="$R$14" gte="0"/>
      </iconSet>
    </cfRule>
  </conditionalFormatting>
  <conditionalFormatting sqref="Q45">
    <cfRule type="iconSet" priority="604">
      <iconSet reverse="1">
        <cfvo type="percent" val="0"/>
        <cfvo type="formula" val="$R$45"/>
        <cfvo type="formula" val="$R$45" gte="0"/>
      </iconSet>
    </cfRule>
  </conditionalFormatting>
  <conditionalFormatting sqref="Q54">
    <cfRule type="iconSet" priority="603">
      <iconSet reverse="1">
        <cfvo type="percent" val="0"/>
        <cfvo type="formula" val="$R$54"/>
        <cfvo type="formula" val="$R$54" gte="0"/>
      </iconSet>
    </cfRule>
  </conditionalFormatting>
  <conditionalFormatting sqref="Q42">
    <cfRule type="iconSet" priority="602">
      <iconSet reverse="1">
        <cfvo type="percent" val="0"/>
        <cfvo type="formula" val="$R$42"/>
        <cfvo type="formula" val="$R$42" gte="0"/>
      </iconSet>
    </cfRule>
  </conditionalFormatting>
  <conditionalFormatting sqref="Q15">
    <cfRule type="iconSet" priority="601">
      <iconSet reverse="1">
        <cfvo type="percent" val="0"/>
        <cfvo type="formula" val="$R$15"/>
        <cfvo type="formula" val="$R$15" gte="0"/>
      </iconSet>
    </cfRule>
  </conditionalFormatting>
  <conditionalFormatting sqref="Q43">
    <cfRule type="iconSet" priority="600">
      <iconSet reverse="1">
        <cfvo type="percent" val="0"/>
        <cfvo type="formula" val="$R$43"/>
        <cfvo type="formula" val="$R$43" gte="0"/>
      </iconSet>
    </cfRule>
  </conditionalFormatting>
  <conditionalFormatting sqref="Q16">
    <cfRule type="iconSet" priority="599">
      <iconSet reverse="1">
        <cfvo type="percent" val="0"/>
        <cfvo type="formula" val="$R$16"/>
        <cfvo type="formula" val="$R$16" gte="0"/>
      </iconSet>
    </cfRule>
  </conditionalFormatting>
  <conditionalFormatting sqref="Q17">
    <cfRule type="iconSet" priority="598">
      <iconSet reverse="1">
        <cfvo type="percent" val="0"/>
        <cfvo type="formula" val="$R$17"/>
        <cfvo type="formula" val="$R$17" gte="0"/>
      </iconSet>
    </cfRule>
  </conditionalFormatting>
  <conditionalFormatting sqref="Q29">
    <cfRule type="iconSet" priority="597">
      <iconSet reverse="1">
        <cfvo type="percent" val="0"/>
        <cfvo type="formula" val="$R$29"/>
        <cfvo type="formula" val="$R$29" gte="0"/>
      </iconSet>
    </cfRule>
  </conditionalFormatting>
  <conditionalFormatting sqref="Q55">
    <cfRule type="iconSet" priority="596">
      <iconSet reverse="1">
        <cfvo type="percent" val="0"/>
        <cfvo type="formula" val="$R$55"/>
        <cfvo type="formula" val="$R$55" gte="0"/>
      </iconSet>
    </cfRule>
  </conditionalFormatting>
  <conditionalFormatting sqref="Q28">
    <cfRule type="iconSet" priority="595">
      <iconSet reverse="1">
        <cfvo type="percent" val="0"/>
        <cfvo type="formula" val="$R$28"/>
        <cfvo type="formula" val="$R$28" gte="0"/>
      </iconSet>
    </cfRule>
  </conditionalFormatting>
  <conditionalFormatting sqref="Q18">
    <cfRule type="iconSet" priority="594">
      <iconSet reverse="1">
        <cfvo type="percent" val="0"/>
        <cfvo type="formula" val="$R$18"/>
        <cfvo type="formula" val="$R$18" gte="0"/>
      </iconSet>
    </cfRule>
  </conditionalFormatting>
  <conditionalFormatting sqref="Q56">
    <cfRule type="iconSet" priority="593">
      <iconSet reverse="1">
        <cfvo type="percent" val="0"/>
        <cfvo type="formula" val="$R$56"/>
        <cfvo type="formula" val="$R$56" gte="0"/>
      </iconSet>
    </cfRule>
  </conditionalFormatting>
  <conditionalFormatting sqref="Q30">
    <cfRule type="iconSet" priority="592">
      <iconSet reverse="1">
        <cfvo type="percent" val="0"/>
        <cfvo type="formula" val="$R$30"/>
        <cfvo type="formula" val="$R$30" gte="0"/>
      </iconSet>
    </cfRule>
  </conditionalFormatting>
  <conditionalFormatting sqref="Q31">
    <cfRule type="iconSet" priority="591">
      <iconSet reverse="1">
        <cfvo type="percent" val="0"/>
        <cfvo type="formula" val="$R$31"/>
        <cfvo type="formula" val="$R$31" gte="0"/>
      </iconSet>
    </cfRule>
  </conditionalFormatting>
  <conditionalFormatting sqref="Q46">
    <cfRule type="iconSet" priority="590">
      <iconSet reverse="1">
        <cfvo type="percent" val="0"/>
        <cfvo type="formula" val="$R$46"/>
        <cfvo type="formula" val="$R$46" gte="0"/>
      </iconSet>
    </cfRule>
  </conditionalFormatting>
  <conditionalFormatting sqref="Q47">
    <cfRule type="iconSet" priority="589">
      <iconSet reverse="1">
        <cfvo type="percent" val="0"/>
        <cfvo type="formula" val="$R$47"/>
        <cfvo type="formula" val="$R$47" gte="0"/>
      </iconSet>
    </cfRule>
  </conditionalFormatting>
  <conditionalFormatting sqref="Q32">
    <cfRule type="iconSet" priority="588">
      <iconSet reverse="1">
        <cfvo type="percent" val="0"/>
        <cfvo type="formula" val="$R$32"/>
        <cfvo type="formula" val="$R$32" gte="0"/>
      </iconSet>
    </cfRule>
  </conditionalFormatting>
  <conditionalFormatting sqref="Q60">
    <cfRule type="iconSet" priority="587">
      <iconSet reverse="1">
        <cfvo type="percent" val="0"/>
        <cfvo type="formula" val="$R$60"/>
        <cfvo type="formula" val="$R$60" gte="0"/>
      </iconSet>
    </cfRule>
  </conditionalFormatting>
  <conditionalFormatting sqref="Q61">
    <cfRule type="iconSet" priority="586">
      <iconSet reverse="1">
        <cfvo type="percent" val="0"/>
        <cfvo type="formula" val="$R$61"/>
        <cfvo type="formula" val="$R$61" gte="0"/>
      </iconSet>
    </cfRule>
  </conditionalFormatting>
  <conditionalFormatting sqref="Q57">
    <cfRule type="iconSet" priority="585">
      <iconSet reverse="1">
        <cfvo type="percent" val="0"/>
        <cfvo type="formula" val="$R$57"/>
        <cfvo type="formula" val="$R$57" gte="0"/>
      </iconSet>
    </cfRule>
  </conditionalFormatting>
  <conditionalFormatting sqref="Q33">
    <cfRule type="iconSet" priority="584">
      <iconSet reverse="1">
        <cfvo type="percent" val="0"/>
        <cfvo type="formula" val="$R$33"/>
        <cfvo type="formula" val="$R$33" gte="0"/>
      </iconSet>
    </cfRule>
  </conditionalFormatting>
  <conditionalFormatting sqref="Q34">
    <cfRule type="iconSet" priority="583">
      <iconSet reverse="1">
        <cfvo type="percent" val="0"/>
        <cfvo type="formula" val="$R$34"/>
        <cfvo type="formula" val="$R$34" gte="0"/>
      </iconSet>
    </cfRule>
  </conditionalFormatting>
  <conditionalFormatting sqref="Q48">
    <cfRule type="iconSet" priority="582">
      <iconSet reverse="1">
        <cfvo type="percent" val="0"/>
        <cfvo type="formula" val="$R$48"/>
        <cfvo type="formula" val="$R$48" gte="0"/>
      </iconSet>
    </cfRule>
  </conditionalFormatting>
  <conditionalFormatting sqref="Q19">
    <cfRule type="iconSet" priority="581">
      <iconSet reverse="1">
        <cfvo type="percent" val="0"/>
        <cfvo type="formula" val="$R$19"/>
        <cfvo type="formula" val="$R$19" gte="0"/>
      </iconSet>
    </cfRule>
  </conditionalFormatting>
  <conditionalFormatting sqref="Q35">
    <cfRule type="iconSet" priority="580">
      <iconSet reverse="1">
        <cfvo type="percent" val="0"/>
        <cfvo type="formula" val="$R$35"/>
        <cfvo type="formula" val="$R$35" gte="0"/>
      </iconSet>
    </cfRule>
  </conditionalFormatting>
  <conditionalFormatting sqref="Q62">
    <cfRule type="iconSet" priority="579">
      <iconSet reverse="1">
        <cfvo type="percent" val="0"/>
        <cfvo type="formula" val="$R$62"/>
        <cfvo type="formula" val="$R$62" gte="0"/>
      </iconSet>
    </cfRule>
  </conditionalFormatting>
  <conditionalFormatting sqref="Q36">
    <cfRule type="iconSet" priority="578">
      <iconSet reverse="1">
        <cfvo type="percent" val="0"/>
        <cfvo type="formula" val="$R$36"/>
        <cfvo type="formula" val="$R$36" gte="0"/>
      </iconSet>
    </cfRule>
  </conditionalFormatting>
  <conditionalFormatting sqref="Q69">
    <cfRule type="iconSet" priority="577">
      <iconSet reverse="1">
        <cfvo type="percent" val="0"/>
        <cfvo type="formula" val="$R$69"/>
        <cfvo type="formula" val="$R$69" gte="0"/>
      </iconSet>
    </cfRule>
  </conditionalFormatting>
  <conditionalFormatting sqref="Q70">
    <cfRule type="iconSet" priority="576">
      <iconSet reverse="1">
        <cfvo type="percent" val="0"/>
        <cfvo type="formula" val="$R$70"/>
        <cfvo type="formula" val="$R$70" gte="0"/>
      </iconSet>
    </cfRule>
  </conditionalFormatting>
  <conditionalFormatting sqref="Q71">
    <cfRule type="iconSet" priority="575">
      <iconSet reverse="1">
        <cfvo type="percent" val="0"/>
        <cfvo type="formula" val="$R$71"/>
        <cfvo type="formula" val="$R$71" gte="0"/>
      </iconSet>
    </cfRule>
  </conditionalFormatting>
  <conditionalFormatting sqref="Q72">
    <cfRule type="iconSet" priority="574">
      <iconSet reverse="1">
        <cfvo type="percent" val="0"/>
        <cfvo type="formula" val="$R$72"/>
        <cfvo type="formula" val="$R$72" gte="0"/>
      </iconSet>
    </cfRule>
  </conditionalFormatting>
  <conditionalFormatting sqref="Q73">
    <cfRule type="iconSet" priority="573">
      <iconSet reverse="1">
        <cfvo type="percent" val="0"/>
        <cfvo type="formula" val="$R$73"/>
        <cfvo type="formula" val="$R$73" gte="0"/>
      </iconSet>
    </cfRule>
  </conditionalFormatting>
  <conditionalFormatting sqref="V6">
    <cfRule type="iconSet" priority="572">
      <iconSet reverse="1">
        <cfvo type="percent" val="0"/>
        <cfvo type="formula" val="$W$6"/>
        <cfvo type="formula" val="$W$6" gte="0"/>
      </iconSet>
    </cfRule>
  </conditionalFormatting>
  <conditionalFormatting sqref="V37">
    <cfRule type="iconSet" priority="571">
      <iconSet reverse="1">
        <cfvo type="percent" val="0"/>
        <cfvo type="formula" val="$W$37"/>
        <cfvo type="formula" val="$W$37" gte="0"/>
      </iconSet>
    </cfRule>
  </conditionalFormatting>
  <conditionalFormatting sqref="V20">
    <cfRule type="iconSet" priority="570">
      <iconSet reverse="1">
        <cfvo type="percent" val="0"/>
        <cfvo type="formula" val="$W$20"/>
        <cfvo type="formula" val="$W$20" gte="0"/>
      </iconSet>
    </cfRule>
  </conditionalFormatting>
  <conditionalFormatting sqref="V38">
    <cfRule type="iconSet" priority="569">
      <iconSet reverse="1">
        <cfvo type="percent" val="0"/>
        <cfvo type="formula" val="$W$38"/>
        <cfvo type="formula" val="$W$38" gte="0"/>
      </iconSet>
    </cfRule>
  </conditionalFormatting>
  <conditionalFormatting sqref="V49">
    <cfRule type="iconSet" priority="568">
      <iconSet reverse="1">
        <cfvo type="percent" val="0"/>
        <cfvo type="formula" val="$W$49"/>
        <cfvo type="formula" val="$W$49" gte="0"/>
      </iconSet>
    </cfRule>
  </conditionalFormatting>
  <conditionalFormatting sqref="V58">
    <cfRule type="iconSet" priority="567">
      <iconSet reverse="1">
        <cfvo type="percent" val="0"/>
        <cfvo type="formula" val="$W$58"/>
        <cfvo type="formula" val="$W$58" gte="0"/>
      </iconSet>
    </cfRule>
  </conditionalFormatting>
  <conditionalFormatting sqref="V7">
    <cfRule type="iconSet" priority="566">
      <iconSet reverse="1">
        <cfvo type="percent" val="0"/>
        <cfvo type="formula" val="$W$7"/>
        <cfvo type="formula" val="$W$7" gte="0"/>
      </iconSet>
    </cfRule>
  </conditionalFormatting>
  <conditionalFormatting sqref="V21">
    <cfRule type="iconSet" priority="565">
      <iconSet reverse="1">
        <cfvo type="percent" val="0"/>
        <cfvo type="formula" val="$W$21"/>
        <cfvo type="formula" val="$W$21" gte="0"/>
      </iconSet>
    </cfRule>
  </conditionalFormatting>
  <conditionalFormatting sqref="V59">
    <cfRule type="iconSet" priority="564">
      <iconSet reverse="1">
        <cfvo type="percent" val="0"/>
        <cfvo type="formula" val="$W$59"/>
        <cfvo type="formula" val="$W$59" gte="0"/>
      </iconSet>
    </cfRule>
  </conditionalFormatting>
  <conditionalFormatting sqref="V50">
    <cfRule type="iconSet" priority="563">
      <iconSet reverse="1">
        <cfvo type="percent" val="0"/>
        <cfvo type="formula" val="$W$50"/>
        <cfvo type="formula" val="$W$50" gte="0"/>
      </iconSet>
    </cfRule>
  </conditionalFormatting>
  <conditionalFormatting sqref="V22">
    <cfRule type="iconSet" priority="562">
      <iconSet reverse="1">
        <cfvo type="percent" val="0"/>
        <cfvo type="formula" val="$W$22"/>
        <cfvo type="formula" val="$W$22" gte="0"/>
      </iconSet>
    </cfRule>
  </conditionalFormatting>
  <conditionalFormatting sqref="V39">
    <cfRule type="iconSet" priority="561">
      <iconSet reverse="1">
        <cfvo type="percent" val="0"/>
        <cfvo type="formula" val="$W$39"/>
        <cfvo type="formula" val="$W$39" gte="0"/>
      </iconSet>
    </cfRule>
  </conditionalFormatting>
  <conditionalFormatting sqref="V51">
    <cfRule type="iconSet" priority="560">
      <iconSet reverse="1">
        <cfvo type="percent" val="0"/>
        <cfvo type="formula" val="$W$51"/>
        <cfvo type="formula" val="$W$51" gte="0"/>
      </iconSet>
    </cfRule>
  </conditionalFormatting>
  <conditionalFormatting sqref="V23">
    <cfRule type="iconSet" priority="559">
      <iconSet reverse="1">
        <cfvo type="percent" val="0"/>
        <cfvo type="formula" val="$W$23"/>
        <cfvo type="formula" val="$W$23" gte="0"/>
      </iconSet>
    </cfRule>
  </conditionalFormatting>
  <conditionalFormatting sqref="V24">
    <cfRule type="iconSet" priority="558">
      <iconSet reverse="1">
        <cfvo type="percent" val="0"/>
        <cfvo type="formula" val="$W$24"/>
        <cfvo type="formula" val="$W$24" gte="0"/>
      </iconSet>
    </cfRule>
  </conditionalFormatting>
  <conditionalFormatting sqref="V25">
    <cfRule type="iconSet" priority="557">
      <iconSet reverse="1">
        <cfvo type="percent" val="0"/>
        <cfvo type="formula" val="$W$25"/>
        <cfvo type="formula" val="$W$25" gte="0"/>
      </iconSet>
    </cfRule>
  </conditionalFormatting>
  <conditionalFormatting sqref="V8">
    <cfRule type="iconSet" priority="556">
      <iconSet reverse="1">
        <cfvo type="percent" val="0"/>
        <cfvo type="formula" val="$W$8"/>
        <cfvo type="formula" val="$W$8" gte="0"/>
      </iconSet>
    </cfRule>
  </conditionalFormatting>
  <conditionalFormatting sqref="V52">
    <cfRule type="iconSet" priority="555">
      <iconSet reverse="1">
        <cfvo type="percent" val="0"/>
        <cfvo type="formula" val="$W$52"/>
        <cfvo type="formula" val="$W$52" gte="0"/>
      </iconSet>
    </cfRule>
  </conditionalFormatting>
  <conditionalFormatting sqref="V53">
    <cfRule type="iconSet" priority="554">
      <iconSet reverse="1">
        <cfvo type="percent" val="0"/>
        <cfvo type="formula" val="$W$53"/>
        <cfvo type="formula" val="$W$53" gte="0"/>
      </iconSet>
    </cfRule>
  </conditionalFormatting>
  <conditionalFormatting sqref="V9">
    <cfRule type="iconSet" priority="553">
      <iconSet reverse="1">
        <cfvo type="percent" val="0"/>
        <cfvo type="formula" val="$W$9"/>
        <cfvo type="formula" val="$W$9" gte="0"/>
      </iconSet>
    </cfRule>
  </conditionalFormatting>
  <conditionalFormatting sqref="V10">
    <cfRule type="iconSet" priority="552">
      <iconSet reverse="1">
        <cfvo type="percent" val="0"/>
        <cfvo type="formula" val="$W$10"/>
        <cfvo type="formula" val="$W$10" gte="0"/>
      </iconSet>
    </cfRule>
  </conditionalFormatting>
  <conditionalFormatting sqref="V26">
    <cfRule type="iconSet" priority="551">
      <iconSet reverse="1">
        <cfvo type="percent" val="0"/>
        <cfvo type="formula" val="$W$26"/>
        <cfvo type="formula" val="$W$26" gte="0"/>
      </iconSet>
    </cfRule>
  </conditionalFormatting>
  <conditionalFormatting sqref="V11">
    <cfRule type="iconSet" priority="550">
      <iconSet reverse="1">
        <cfvo type="percent" val="0"/>
        <cfvo type="formula" val="$W$11"/>
        <cfvo type="formula" val="$W$11" gte="0"/>
      </iconSet>
    </cfRule>
  </conditionalFormatting>
  <conditionalFormatting sqref="V27">
    <cfRule type="iconSet" priority="549">
      <iconSet reverse="1">
        <cfvo type="percent" val="0"/>
        <cfvo type="formula" val="$W$27"/>
        <cfvo type="formula" val="$W$27" gte="0"/>
      </iconSet>
    </cfRule>
  </conditionalFormatting>
  <conditionalFormatting sqref="V40">
    <cfRule type="iconSet" priority="548">
      <iconSet reverse="1">
        <cfvo type="percent" val="0"/>
        <cfvo type="formula" val="$W$40"/>
        <cfvo type="formula" val="$W$40" gte="0"/>
      </iconSet>
    </cfRule>
  </conditionalFormatting>
  <conditionalFormatting sqref="V41">
    <cfRule type="iconSet" priority="547">
      <iconSet reverse="1">
        <cfvo type="percent" val="0"/>
        <cfvo type="formula" val="$W$41"/>
        <cfvo type="formula" val="$W$41" gte="0"/>
      </iconSet>
    </cfRule>
  </conditionalFormatting>
  <conditionalFormatting sqref="V12">
    <cfRule type="iconSet" priority="546">
      <iconSet reverse="1">
        <cfvo type="percent" val="0"/>
        <cfvo type="formula" val="$W$12"/>
        <cfvo type="formula" val="$W$12" gte="0"/>
      </iconSet>
    </cfRule>
  </conditionalFormatting>
  <conditionalFormatting sqref="V13">
    <cfRule type="iconSet" priority="545">
      <iconSet reverse="1">
        <cfvo type="percent" val="0"/>
        <cfvo type="formula" val="$W$13"/>
        <cfvo type="formula" val="$W$13" gte="0"/>
      </iconSet>
    </cfRule>
  </conditionalFormatting>
  <conditionalFormatting sqref="V44">
    <cfRule type="iconSet" priority="544">
      <iconSet reverse="1">
        <cfvo type="percent" val="0"/>
        <cfvo type="formula" val="$W$44"/>
        <cfvo type="formula" val="$W$44" gte="0"/>
      </iconSet>
    </cfRule>
  </conditionalFormatting>
  <conditionalFormatting sqref="V14">
    <cfRule type="iconSet" priority="543">
      <iconSet reverse="1">
        <cfvo type="percent" val="0"/>
        <cfvo type="formula" val="$W$14"/>
        <cfvo type="formula" val="$W$14" gte="0"/>
      </iconSet>
    </cfRule>
  </conditionalFormatting>
  <conditionalFormatting sqref="V45">
    <cfRule type="iconSet" priority="542">
      <iconSet reverse="1">
        <cfvo type="percent" val="0"/>
        <cfvo type="formula" val="$W$45"/>
        <cfvo type="formula" val="$W$45" gte="0"/>
      </iconSet>
    </cfRule>
  </conditionalFormatting>
  <conditionalFormatting sqref="V54">
    <cfRule type="iconSet" priority="541">
      <iconSet reverse="1">
        <cfvo type="percent" val="0"/>
        <cfvo type="formula" val="$W$54"/>
        <cfvo type="formula" val="$W$54" gte="0"/>
      </iconSet>
    </cfRule>
  </conditionalFormatting>
  <conditionalFormatting sqref="V42">
    <cfRule type="iconSet" priority="540">
      <iconSet reverse="1">
        <cfvo type="percent" val="0"/>
        <cfvo type="formula" val="$W$42"/>
        <cfvo type="formula" val="$W$42" gte="0"/>
      </iconSet>
    </cfRule>
  </conditionalFormatting>
  <conditionalFormatting sqref="V15">
    <cfRule type="iconSet" priority="539">
      <iconSet reverse="1">
        <cfvo type="percent" val="0"/>
        <cfvo type="formula" val="$W$15"/>
        <cfvo type="formula" val="$W$15" gte="0"/>
      </iconSet>
    </cfRule>
  </conditionalFormatting>
  <conditionalFormatting sqref="V43">
    <cfRule type="iconSet" priority="538">
      <iconSet reverse="1">
        <cfvo type="percent" val="0"/>
        <cfvo type="formula" val="$W$43"/>
        <cfvo type="formula" val="$W$43" gte="0"/>
      </iconSet>
    </cfRule>
  </conditionalFormatting>
  <conditionalFormatting sqref="V16">
    <cfRule type="iconSet" priority="537">
      <iconSet reverse="1">
        <cfvo type="percent" val="0"/>
        <cfvo type="formula" val="$W$16"/>
        <cfvo type="formula" val="$W$16" gte="0"/>
      </iconSet>
    </cfRule>
  </conditionalFormatting>
  <conditionalFormatting sqref="V17">
    <cfRule type="iconSet" priority="536">
      <iconSet reverse="1">
        <cfvo type="percent" val="0"/>
        <cfvo type="formula" val="$W$17"/>
        <cfvo type="formula" val="$W$17" gte="0"/>
      </iconSet>
    </cfRule>
  </conditionalFormatting>
  <conditionalFormatting sqref="V29">
    <cfRule type="iconSet" priority="535">
      <iconSet reverse="1">
        <cfvo type="percent" val="0"/>
        <cfvo type="formula" val="$W$29"/>
        <cfvo type="formula" val="$W$29" gte="0"/>
      </iconSet>
    </cfRule>
  </conditionalFormatting>
  <conditionalFormatting sqref="V55">
    <cfRule type="iconSet" priority="534">
      <iconSet reverse="1">
        <cfvo type="percent" val="0"/>
        <cfvo type="formula" val="$W$55"/>
        <cfvo type="formula" val="$W$55" gte="0"/>
      </iconSet>
    </cfRule>
  </conditionalFormatting>
  <conditionalFormatting sqref="V28">
    <cfRule type="iconSet" priority="533">
      <iconSet reverse="1">
        <cfvo type="percent" val="0"/>
        <cfvo type="formula" val="$W$28"/>
        <cfvo type="formula" val="$W$28" gte="0"/>
      </iconSet>
    </cfRule>
  </conditionalFormatting>
  <conditionalFormatting sqref="V18">
    <cfRule type="iconSet" priority="532">
      <iconSet reverse="1">
        <cfvo type="percent" val="0"/>
        <cfvo type="formula" val="$W$18"/>
        <cfvo type="formula" val="$W$18" gte="0"/>
      </iconSet>
    </cfRule>
  </conditionalFormatting>
  <conditionalFormatting sqref="V56">
    <cfRule type="iconSet" priority="531">
      <iconSet reverse="1">
        <cfvo type="percent" val="0"/>
        <cfvo type="formula" val="$W$56"/>
        <cfvo type="formula" val="$W$56" gte="0"/>
      </iconSet>
    </cfRule>
  </conditionalFormatting>
  <conditionalFormatting sqref="V30">
    <cfRule type="iconSet" priority="530">
      <iconSet reverse="1">
        <cfvo type="percent" val="0"/>
        <cfvo type="formula" val="$W$30"/>
        <cfvo type="formula" val="$W$30" gte="0"/>
      </iconSet>
    </cfRule>
  </conditionalFormatting>
  <conditionalFormatting sqref="V31">
    <cfRule type="iconSet" priority="529">
      <iconSet reverse="1">
        <cfvo type="percent" val="0"/>
        <cfvo type="formula" val="$W$31"/>
        <cfvo type="formula" val="$W$31" gte="0"/>
      </iconSet>
    </cfRule>
  </conditionalFormatting>
  <conditionalFormatting sqref="V46">
    <cfRule type="iconSet" priority="528">
      <iconSet reverse="1">
        <cfvo type="percent" val="0"/>
        <cfvo type="formula" val="$W$46"/>
        <cfvo type="formula" val="$W$46" gte="0"/>
      </iconSet>
    </cfRule>
  </conditionalFormatting>
  <conditionalFormatting sqref="V47">
    <cfRule type="iconSet" priority="527">
      <iconSet reverse="1">
        <cfvo type="percent" val="0"/>
        <cfvo type="formula" val="$W$47"/>
        <cfvo type="formula" val="$W$47" gte="0"/>
      </iconSet>
    </cfRule>
  </conditionalFormatting>
  <conditionalFormatting sqref="V32">
    <cfRule type="iconSet" priority="526">
      <iconSet reverse="1">
        <cfvo type="percent" val="0"/>
        <cfvo type="formula" val="$W$32"/>
        <cfvo type="formula" val="$W$32" gte="0"/>
      </iconSet>
    </cfRule>
  </conditionalFormatting>
  <conditionalFormatting sqref="V60">
    <cfRule type="iconSet" priority="525">
      <iconSet reverse="1">
        <cfvo type="percent" val="0"/>
        <cfvo type="formula" val="$W$60"/>
        <cfvo type="formula" val="$W$60" gte="0"/>
      </iconSet>
    </cfRule>
  </conditionalFormatting>
  <conditionalFormatting sqref="V61">
    <cfRule type="iconSet" priority="524">
      <iconSet reverse="1">
        <cfvo type="percent" val="0"/>
        <cfvo type="formula" val="$W$61"/>
        <cfvo type="formula" val="$W$61" gte="0"/>
      </iconSet>
    </cfRule>
  </conditionalFormatting>
  <conditionalFormatting sqref="V57">
    <cfRule type="iconSet" priority="523">
      <iconSet reverse="1">
        <cfvo type="percent" val="0"/>
        <cfvo type="formula" val="$W$57"/>
        <cfvo type="formula" val="$W$57" gte="0"/>
      </iconSet>
    </cfRule>
  </conditionalFormatting>
  <conditionalFormatting sqref="V33">
    <cfRule type="iconSet" priority="522">
      <iconSet reverse="1">
        <cfvo type="percent" val="0"/>
        <cfvo type="formula" val="$W$33"/>
        <cfvo type="formula" val="$W$33" gte="0"/>
      </iconSet>
    </cfRule>
  </conditionalFormatting>
  <conditionalFormatting sqref="V34">
    <cfRule type="iconSet" priority="521">
      <iconSet reverse="1">
        <cfvo type="percent" val="0"/>
        <cfvo type="formula" val="$W$34"/>
        <cfvo type="formula" val="$W$34" gte="0"/>
      </iconSet>
    </cfRule>
  </conditionalFormatting>
  <conditionalFormatting sqref="V48">
    <cfRule type="iconSet" priority="520">
      <iconSet reverse="1">
        <cfvo type="percent" val="0"/>
        <cfvo type="formula" val="$W$48"/>
        <cfvo type="formula" val="$W$48" gte="0"/>
      </iconSet>
    </cfRule>
  </conditionalFormatting>
  <conditionalFormatting sqref="V19">
    <cfRule type="iconSet" priority="519">
      <iconSet reverse="1">
        <cfvo type="percent" val="0"/>
        <cfvo type="formula" val="$W$19"/>
        <cfvo type="formula" val="$W$19" gte="0"/>
      </iconSet>
    </cfRule>
  </conditionalFormatting>
  <conditionalFormatting sqref="V35">
    <cfRule type="iconSet" priority="518">
      <iconSet reverse="1">
        <cfvo type="percent" val="0"/>
        <cfvo type="formula" val="$W$35"/>
        <cfvo type="formula" val="$W$35" gte="0"/>
      </iconSet>
    </cfRule>
  </conditionalFormatting>
  <conditionalFormatting sqref="V62">
    <cfRule type="iconSet" priority="517">
      <iconSet reverse="1">
        <cfvo type="percent" val="0"/>
        <cfvo type="formula" val="$W$62"/>
        <cfvo type="formula" val="$W$62" gte="0"/>
      </iconSet>
    </cfRule>
  </conditionalFormatting>
  <conditionalFormatting sqref="V36">
    <cfRule type="iconSet" priority="516">
      <iconSet reverse="1">
        <cfvo type="percent" val="0"/>
        <cfvo type="formula" val="$W$36"/>
        <cfvo type="formula" val="$W$36" gte="0"/>
      </iconSet>
    </cfRule>
  </conditionalFormatting>
  <conditionalFormatting sqref="V69">
    <cfRule type="iconSet" priority="515">
      <iconSet reverse="1">
        <cfvo type="percent" val="0"/>
        <cfvo type="formula" val="$W$69"/>
        <cfvo type="formula" val="$W$69" gte="0"/>
      </iconSet>
    </cfRule>
  </conditionalFormatting>
  <conditionalFormatting sqref="V70">
    <cfRule type="iconSet" priority="514">
      <iconSet reverse="1">
        <cfvo type="percent" val="0"/>
        <cfvo type="formula" val="$W$70"/>
        <cfvo type="formula" val="$W$70" gte="0"/>
      </iconSet>
    </cfRule>
  </conditionalFormatting>
  <conditionalFormatting sqref="V71">
    <cfRule type="iconSet" priority="513">
      <iconSet reverse="1">
        <cfvo type="percent" val="0"/>
        <cfvo type="formula" val="$W$71"/>
        <cfvo type="formula" val="$W$71" gte="0"/>
      </iconSet>
    </cfRule>
  </conditionalFormatting>
  <conditionalFormatting sqref="V72">
    <cfRule type="iconSet" priority="512">
      <iconSet reverse="1">
        <cfvo type="percent" val="0"/>
        <cfvo type="formula" val="$W$72"/>
        <cfvo type="formula" val="$W$72" gte="0"/>
      </iconSet>
    </cfRule>
  </conditionalFormatting>
  <conditionalFormatting sqref="V73">
    <cfRule type="iconSet" priority="511">
      <iconSet reverse="1">
        <cfvo type="percent" val="0"/>
        <cfvo type="formula" val="$W$73"/>
        <cfvo type="formula" val="$W$73" gte="0"/>
      </iconSet>
    </cfRule>
  </conditionalFormatting>
  <conditionalFormatting sqref="M6">
    <cfRule type="iconSet" priority="510">
      <iconSet reverse="1">
        <cfvo type="percent" val="0"/>
        <cfvo type="formula" val="$N$6"/>
        <cfvo type="formula" val="$N$6" gte="0"/>
      </iconSet>
    </cfRule>
  </conditionalFormatting>
  <conditionalFormatting sqref="M37">
    <cfRule type="iconSet" priority="509">
      <iconSet reverse="1">
        <cfvo type="percent" val="0"/>
        <cfvo type="formula" val="$N$37"/>
        <cfvo type="formula" val="$N$37" gte="0"/>
      </iconSet>
    </cfRule>
  </conditionalFormatting>
  <conditionalFormatting sqref="M20">
    <cfRule type="iconSet" priority="508">
      <iconSet reverse="1">
        <cfvo type="percent" val="0"/>
        <cfvo type="formula" val="$N$20"/>
        <cfvo type="formula" val="$N$20" gte="0"/>
      </iconSet>
    </cfRule>
  </conditionalFormatting>
  <conditionalFormatting sqref="M38">
    <cfRule type="iconSet" priority="507">
      <iconSet reverse="1">
        <cfvo type="percent" val="0"/>
        <cfvo type="formula" val="$N$38"/>
        <cfvo type="formula" val="$N$38" gte="0"/>
      </iconSet>
    </cfRule>
  </conditionalFormatting>
  <conditionalFormatting sqref="M49">
    <cfRule type="iconSet" priority="506">
      <iconSet reverse="1">
        <cfvo type="percent" val="0"/>
        <cfvo type="formula" val="$N$49"/>
        <cfvo type="formula" val="$N$49" gte="0"/>
      </iconSet>
    </cfRule>
  </conditionalFormatting>
  <conditionalFormatting sqref="M58">
    <cfRule type="iconSet" priority="505">
      <iconSet reverse="1">
        <cfvo type="percent" val="0"/>
        <cfvo type="formula" val="$N$58"/>
        <cfvo type="formula" val="$N$58" gte="0"/>
      </iconSet>
    </cfRule>
  </conditionalFormatting>
  <conditionalFormatting sqref="M7">
    <cfRule type="iconSet" priority="504">
      <iconSet reverse="1">
        <cfvo type="percent" val="0"/>
        <cfvo type="formula" val="$N$7"/>
        <cfvo type="formula" val="$N$7" gte="0"/>
      </iconSet>
    </cfRule>
  </conditionalFormatting>
  <conditionalFormatting sqref="M21">
    <cfRule type="iconSet" priority="503">
      <iconSet reverse="1">
        <cfvo type="percent" val="0"/>
        <cfvo type="formula" val="$N$21"/>
        <cfvo type="formula" val="$N$21" gte="0"/>
      </iconSet>
    </cfRule>
  </conditionalFormatting>
  <conditionalFormatting sqref="M59">
    <cfRule type="iconSet" priority="502">
      <iconSet reverse="1">
        <cfvo type="percent" val="0"/>
        <cfvo type="formula" val="$N$59"/>
        <cfvo type="formula" val="$N$59" gte="0"/>
      </iconSet>
    </cfRule>
  </conditionalFormatting>
  <conditionalFormatting sqref="M50">
    <cfRule type="iconSet" priority="501">
      <iconSet reverse="1">
        <cfvo type="percent" val="0"/>
        <cfvo type="formula" val="$N$50"/>
        <cfvo type="formula" val="$N$50" gte="0"/>
      </iconSet>
    </cfRule>
  </conditionalFormatting>
  <conditionalFormatting sqref="M22">
    <cfRule type="iconSet" priority="500">
      <iconSet reverse="1">
        <cfvo type="percent" val="0"/>
        <cfvo type="formula" val="$N$22"/>
        <cfvo type="formula" val="$N$22" gte="0"/>
      </iconSet>
    </cfRule>
  </conditionalFormatting>
  <conditionalFormatting sqref="M39">
    <cfRule type="iconSet" priority="499">
      <iconSet reverse="1">
        <cfvo type="percent" val="0"/>
        <cfvo type="formula" val="$N$39"/>
        <cfvo type="formula" val="$N$39" gte="0"/>
      </iconSet>
    </cfRule>
  </conditionalFormatting>
  <conditionalFormatting sqref="M51">
    <cfRule type="iconSet" priority="498">
      <iconSet reverse="1">
        <cfvo type="percent" val="0"/>
        <cfvo type="formula" val="$N$51"/>
        <cfvo type="formula" val="$N$51" gte="0"/>
      </iconSet>
    </cfRule>
  </conditionalFormatting>
  <conditionalFormatting sqref="M23">
    <cfRule type="iconSet" priority="497">
      <iconSet reverse="1">
        <cfvo type="percent" val="0"/>
        <cfvo type="formula" val="$N$23"/>
        <cfvo type="formula" val="$N$23" gte="0"/>
      </iconSet>
    </cfRule>
  </conditionalFormatting>
  <conditionalFormatting sqref="M24">
    <cfRule type="iconSet" priority="496">
      <iconSet reverse="1">
        <cfvo type="percent" val="0"/>
        <cfvo type="formula" val="$N$24"/>
        <cfvo type="formula" val="$N$24" gte="0"/>
      </iconSet>
    </cfRule>
  </conditionalFormatting>
  <conditionalFormatting sqref="M25">
    <cfRule type="iconSet" priority="495">
      <iconSet reverse="1">
        <cfvo type="percent" val="0"/>
        <cfvo type="formula" val="$N$25"/>
        <cfvo type="formula" val="$N$25" gte="0"/>
      </iconSet>
    </cfRule>
  </conditionalFormatting>
  <conditionalFormatting sqref="M8">
    <cfRule type="iconSet" priority="494">
      <iconSet reverse="1">
        <cfvo type="percent" val="0"/>
        <cfvo type="formula" val="$N$8"/>
        <cfvo type="formula" val="$N$8" gte="0"/>
      </iconSet>
    </cfRule>
  </conditionalFormatting>
  <conditionalFormatting sqref="M52">
    <cfRule type="iconSet" priority="493">
      <iconSet reverse="1">
        <cfvo type="percent" val="0"/>
        <cfvo type="formula" val="$N$52"/>
        <cfvo type="formula" val="$N$52" gte="0"/>
      </iconSet>
    </cfRule>
  </conditionalFormatting>
  <conditionalFormatting sqref="M53">
    <cfRule type="iconSet" priority="492">
      <iconSet reverse="1">
        <cfvo type="percent" val="0"/>
        <cfvo type="formula" val="$N$53"/>
        <cfvo type="formula" val="$N$53" gte="0"/>
      </iconSet>
    </cfRule>
  </conditionalFormatting>
  <conditionalFormatting sqref="M9">
    <cfRule type="iconSet" priority="491">
      <iconSet reverse="1">
        <cfvo type="percent" val="0"/>
        <cfvo type="formula" val="$N$9"/>
        <cfvo type="formula" val="$N$9" gte="0"/>
      </iconSet>
    </cfRule>
  </conditionalFormatting>
  <conditionalFormatting sqref="M10">
    <cfRule type="iconSet" priority="490">
      <iconSet reverse="1">
        <cfvo type="percent" val="0"/>
        <cfvo type="formula" val="$N$10"/>
        <cfvo type="formula" val="$N$10" gte="0"/>
      </iconSet>
    </cfRule>
  </conditionalFormatting>
  <conditionalFormatting sqref="M26">
    <cfRule type="iconSet" priority="489">
      <iconSet reverse="1">
        <cfvo type="percent" val="0"/>
        <cfvo type="formula" val="$N$26"/>
        <cfvo type="formula" val="$N$26" gte="0"/>
      </iconSet>
    </cfRule>
  </conditionalFormatting>
  <conditionalFormatting sqref="M11">
    <cfRule type="iconSet" priority="488">
      <iconSet reverse="1">
        <cfvo type="percent" val="0"/>
        <cfvo type="formula" val="$N$11"/>
        <cfvo type="formula" val="$N$11" gte="0"/>
      </iconSet>
    </cfRule>
  </conditionalFormatting>
  <conditionalFormatting sqref="M27">
    <cfRule type="iconSet" priority="487">
      <iconSet reverse="1">
        <cfvo type="percent" val="0"/>
        <cfvo type="formula" val="$N$27"/>
        <cfvo type="formula" val="$N$27" gte="0"/>
      </iconSet>
    </cfRule>
  </conditionalFormatting>
  <conditionalFormatting sqref="M40">
    <cfRule type="iconSet" priority="486">
      <iconSet reverse="1">
        <cfvo type="percent" val="0"/>
        <cfvo type="formula" val="$N$40"/>
        <cfvo type="formula" val="$N$40" gte="0"/>
      </iconSet>
    </cfRule>
  </conditionalFormatting>
  <conditionalFormatting sqref="M41">
    <cfRule type="iconSet" priority="485">
      <iconSet reverse="1">
        <cfvo type="percent" val="0"/>
        <cfvo type="formula" val="$N$41"/>
        <cfvo type="formula" val="$N$41" gte="0"/>
      </iconSet>
    </cfRule>
  </conditionalFormatting>
  <conditionalFormatting sqref="M12">
    <cfRule type="iconSet" priority="484">
      <iconSet reverse="1">
        <cfvo type="percent" val="0"/>
        <cfvo type="formula" val="$N$12"/>
        <cfvo type="formula" val="$N$12" gte="0"/>
      </iconSet>
    </cfRule>
  </conditionalFormatting>
  <conditionalFormatting sqref="M13">
    <cfRule type="iconSet" priority="483">
      <iconSet reverse="1">
        <cfvo type="percent" val="0"/>
        <cfvo type="formula" val="$N$13"/>
        <cfvo type="formula" val="$N$13" gte="0"/>
      </iconSet>
    </cfRule>
  </conditionalFormatting>
  <conditionalFormatting sqref="M44">
    <cfRule type="iconSet" priority="482">
      <iconSet reverse="1">
        <cfvo type="percent" val="0"/>
        <cfvo type="formula" val="$N$44"/>
        <cfvo type="formula" val="$N$44" gte="0"/>
      </iconSet>
    </cfRule>
  </conditionalFormatting>
  <conditionalFormatting sqref="M14">
    <cfRule type="iconSet" priority="481">
      <iconSet reverse="1">
        <cfvo type="percent" val="0"/>
        <cfvo type="formula" val="$N$14"/>
        <cfvo type="formula" val="$N$14" gte="0"/>
      </iconSet>
    </cfRule>
  </conditionalFormatting>
  <conditionalFormatting sqref="M45">
    <cfRule type="iconSet" priority="480">
      <iconSet reverse="1">
        <cfvo type="percent" val="0"/>
        <cfvo type="formula" val="$N$45"/>
        <cfvo type="formula" val="$N$45" gte="0"/>
      </iconSet>
    </cfRule>
  </conditionalFormatting>
  <conditionalFormatting sqref="M54">
    <cfRule type="iconSet" priority="479">
      <iconSet reverse="1">
        <cfvo type="percent" val="0"/>
        <cfvo type="formula" val="$N$54"/>
        <cfvo type="formula" val="$N$54" gte="0"/>
      </iconSet>
    </cfRule>
  </conditionalFormatting>
  <conditionalFormatting sqref="M42">
    <cfRule type="iconSet" priority="478">
      <iconSet reverse="1">
        <cfvo type="percent" val="0"/>
        <cfvo type="formula" val="$N$42"/>
        <cfvo type="formula" val="$N$42" gte="0"/>
      </iconSet>
    </cfRule>
  </conditionalFormatting>
  <conditionalFormatting sqref="M15">
    <cfRule type="iconSet" priority="477">
      <iconSet reverse="1">
        <cfvo type="percent" val="0"/>
        <cfvo type="formula" val="$N$15"/>
        <cfvo type="formula" val="$N$15" gte="0"/>
      </iconSet>
    </cfRule>
  </conditionalFormatting>
  <conditionalFormatting sqref="M43">
    <cfRule type="iconSet" priority="476">
      <iconSet reverse="1">
        <cfvo type="percent" val="0"/>
        <cfvo type="formula" val="$N$43"/>
        <cfvo type="formula" val="$N$43" gte="0"/>
      </iconSet>
    </cfRule>
  </conditionalFormatting>
  <conditionalFormatting sqref="M16">
    <cfRule type="iconSet" priority="475">
      <iconSet reverse="1">
        <cfvo type="percent" val="0"/>
        <cfvo type="formula" val="$N$16"/>
        <cfvo type="formula" val="$N$16" gte="0"/>
      </iconSet>
    </cfRule>
  </conditionalFormatting>
  <conditionalFormatting sqref="M17">
    <cfRule type="iconSet" priority="474">
      <iconSet reverse="1">
        <cfvo type="percent" val="0"/>
        <cfvo type="formula" val="$N$17"/>
        <cfvo type="formula" val="$N$17" gte="0"/>
      </iconSet>
    </cfRule>
  </conditionalFormatting>
  <conditionalFormatting sqref="M29">
    <cfRule type="iconSet" priority="473">
      <iconSet reverse="1">
        <cfvo type="percent" val="0"/>
        <cfvo type="formula" val="$N$29"/>
        <cfvo type="formula" val="$N$29" gte="0"/>
      </iconSet>
    </cfRule>
  </conditionalFormatting>
  <conditionalFormatting sqref="M55">
    <cfRule type="iconSet" priority="472">
      <iconSet reverse="1">
        <cfvo type="percent" val="0"/>
        <cfvo type="formula" val="$N$55"/>
        <cfvo type="formula" val="$N$55" gte="0"/>
      </iconSet>
    </cfRule>
  </conditionalFormatting>
  <conditionalFormatting sqref="M28">
    <cfRule type="iconSet" priority="471">
      <iconSet reverse="1">
        <cfvo type="percent" val="0"/>
        <cfvo type="formula" val="$N$28"/>
        <cfvo type="formula" val="$N$28" gte="0"/>
      </iconSet>
    </cfRule>
  </conditionalFormatting>
  <conditionalFormatting sqref="M18">
    <cfRule type="iconSet" priority="470">
      <iconSet reverse="1">
        <cfvo type="percent" val="0"/>
        <cfvo type="formula" val="$N$18"/>
        <cfvo type="formula" val="$N$18" gte="0"/>
      </iconSet>
    </cfRule>
  </conditionalFormatting>
  <conditionalFormatting sqref="M56">
    <cfRule type="iconSet" priority="469">
      <iconSet reverse="1">
        <cfvo type="percent" val="0"/>
        <cfvo type="formula" val="$N$56"/>
        <cfvo type="formula" val="$N$56" gte="0"/>
      </iconSet>
    </cfRule>
  </conditionalFormatting>
  <conditionalFormatting sqref="M30">
    <cfRule type="iconSet" priority="468">
      <iconSet reverse="1">
        <cfvo type="percent" val="0"/>
        <cfvo type="formula" val="$N$30"/>
        <cfvo type="formula" val="$N$30" gte="0"/>
      </iconSet>
    </cfRule>
  </conditionalFormatting>
  <conditionalFormatting sqref="M31">
    <cfRule type="iconSet" priority="467">
      <iconSet reverse="1">
        <cfvo type="percent" val="0"/>
        <cfvo type="formula" val="$N$31"/>
        <cfvo type="formula" val="$N$31" gte="0"/>
      </iconSet>
    </cfRule>
  </conditionalFormatting>
  <conditionalFormatting sqref="M46">
    <cfRule type="iconSet" priority="466">
      <iconSet reverse="1">
        <cfvo type="percent" val="0"/>
        <cfvo type="formula" val="$N$46"/>
        <cfvo type="formula" val="$N$46" gte="0"/>
      </iconSet>
    </cfRule>
  </conditionalFormatting>
  <conditionalFormatting sqref="M47">
    <cfRule type="iconSet" priority="465">
      <iconSet reverse="1">
        <cfvo type="percent" val="0"/>
        <cfvo type="formula" val="$N$47"/>
        <cfvo type="formula" val="$N$47" gte="0"/>
      </iconSet>
    </cfRule>
  </conditionalFormatting>
  <conditionalFormatting sqref="M32">
    <cfRule type="iconSet" priority="464">
      <iconSet reverse="1">
        <cfvo type="percent" val="0"/>
        <cfvo type="formula" val="$N$32"/>
        <cfvo type="formula" val="$N$32" gte="0"/>
      </iconSet>
    </cfRule>
  </conditionalFormatting>
  <conditionalFormatting sqref="M60">
    <cfRule type="iconSet" priority="463">
      <iconSet reverse="1">
        <cfvo type="percent" val="0"/>
        <cfvo type="formula" val="$N$60"/>
        <cfvo type="formula" val="$N$60" gte="0"/>
      </iconSet>
    </cfRule>
  </conditionalFormatting>
  <conditionalFormatting sqref="M61">
    <cfRule type="iconSet" priority="462">
      <iconSet reverse="1">
        <cfvo type="percent" val="0"/>
        <cfvo type="formula" val="$N$61"/>
        <cfvo type="formula" val="$N$61" gte="0"/>
      </iconSet>
    </cfRule>
  </conditionalFormatting>
  <conditionalFormatting sqref="M57">
    <cfRule type="iconSet" priority="461">
      <iconSet reverse="1">
        <cfvo type="percent" val="0"/>
        <cfvo type="formula" val="$N$57"/>
        <cfvo type="formula" val="$N$57" gte="0"/>
      </iconSet>
    </cfRule>
  </conditionalFormatting>
  <conditionalFormatting sqref="M33">
    <cfRule type="iconSet" priority="460">
      <iconSet reverse="1">
        <cfvo type="percent" val="0"/>
        <cfvo type="formula" val="$N$33"/>
        <cfvo type="formula" val="$N$33" gte="0"/>
      </iconSet>
    </cfRule>
  </conditionalFormatting>
  <conditionalFormatting sqref="M34">
    <cfRule type="iconSet" priority="459">
      <iconSet reverse="1">
        <cfvo type="percent" val="0"/>
        <cfvo type="formula" val="$N$34"/>
        <cfvo type="formula" val="$N$34" gte="0"/>
      </iconSet>
    </cfRule>
  </conditionalFormatting>
  <conditionalFormatting sqref="M48">
    <cfRule type="iconSet" priority="458">
      <iconSet reverse="1">
        <cfvo type="percent" val="0"/>
        <cfvo type="formula" val="$N$48"/>
        <cfvo type="formula" val="$N$48" gte="0"/>
      </iconSet>
    </cfRule>
  </conditionalFormatting>
  <conditionalFormatting sqref="M19">
    <cfRule type="iconSet" priority="457">
      <iconSet reverse="1">
        <cfvo type="percent" val="0"/>
        <cfvo type="formula" val="$N$19"/>
        <cfvo type="formula" val="$N$19" gte="0"/>
      </iconSet>
    </cfRule>
  </conditionalFormatting>
  <conditionalFormatting sqref="M35">
    <cfRule type="iconSet" priority="456">
      <iconSet reverse="1">
        <cfvo type="percent" val="0"/>
        <cfvo type="formula" val="$N$35"/>
        <cfvo type="formula" val="$N$35" gte="0"/>
      </iconSet>
    </cfRule>
  </conditionalFormatting>
  <conditionalFormatting sqref="M62">
    <cfRule type="iconSet" priority="455">
      <iconSet reverse="1">
        <cfvo type="percent" val="0"/>
        <cfvo type="formula" val="$N$62"/>
        <cfvo type="formula" val="$N$62" gte="0"/>
      </iconSet>
    </cfRule>
  </conditionalFormatting>
  <conditionalFormatting sqref="M36">
    <cfRule type="iconSet" priority="454">
      <iconSet reverse="1">
        <cfvo type="percent" val="0"/>
        <cfvo type="formula" val="$N$36"/>
        <cfvo type="formula" val="$N$36" gte="0"/>
      </iconSet>
    </cfRule>
  </conditionalFormatting>
  <conditionalFormatting sqref="M69">
    <cfRule type="iconSet" priority="453">
      <iconSet reverse="1">
        <cfvo type="percent" val="0"/>
        <cfvo type="formula" val="$N$69"/>
        <cfvo type="formula" val="$N$69" gte="0"/>
      </iconSet>
    </cfRule>
  </conditionalFormatting>
  <conditionalFormatting sqref="M70">
    <cfRule type="iconSet" priority="452">
      <iconSet reverse="1">
        <cfvo type="percent" val="0"/>
        <cfvo type="formula" val="$N$70"/>
        <cfvo type="formula" val="$N$70" gte="0"/>
      </iconSet>
    </cfRule>
  </conditionalFormatting>
  <conditionalFormatting sqref="M71">
    <cfRule type="iconSet" priority="451">
      <iconSet reverse="1">
        <cfvo type="percent" val="0"/>
        <cfvo type="formula" val="$N$71"/>
        <cfvo type="formula" val="$N$71" gte="0"/>
      </iconSet>
    </cfRule>
  </conditionalFormatting>
  <conditionalFormatting sqref="M72">
    <cfRule type="iconSet" priority="450">
      <iconSet reverse="1">
        <cfvo type="percent" val="0"/>
        <cfvo type="formula" val="$N$72"/>
        <cfvo type="formula" val="$N$72" gte="0"/>
      </iconSet>
    </cfRule>
  </conditionalFormatting>
  <conditionalFormatting sqref="M73">
    <cfRule type="iconSet" priority="449">
      <iconSet reverse="1">
        <cfvo type="percent" val="0"/>
        <cfvo type="formula" val="$N$73"/>
        <cfvo type="formula" val="$N$73" gte="0"/>
      </iconSet>
    </cfRule>
  </conditionalFormatting>
  <conditionalFormatting sqref="O6">
    <cfRule type="iconSet" priority="448">
      <iconSet reverse="1">
        <cfvo type="percent" val="0"/>
        <cfvo type="formula" val="$P$6"/>
        <cfvo type="formula" val="$P$6" gte="0"/>
      </iconSet>
    </cfRule>
  </conditionalFormatting>
  <conditionalFormatting sqref="O37">
    <cfRule type="iconSet" priority="447">
      <iconSet reverse="1">
        <cfvo type="percent" val="0"/>
        <cfvo type="formula" val="$P$37"/>
        <cfvo type="formula" val="$P$37" gte="0"/>
      </iconSet>
    </cfRule>
  </conditionalFormatting>
  <conditionalFormatting sqref="O20">
    <cfRule type="iconSet" priority="446">
      <iconSet reverse="1">
        <cfvo type="percent" val="0"/>
        <cfvo type="formula" val="$P$20"/>
        <cfvo type="formula" val="$P$20" gte="0"/>
      </iconSet>
    </cfRule>
  </conditionalFormatting>
  <conditionalFormatting sqref="O38">
    <cfRule type="iconSet" priority="445">
      <iconSet reverse="1">
        <cfvo type="percent" val="0"/>
        <cfvo type="formula" val="$P$38"/>
        <cfvo type="formula" val="$P$38" gte="0"/>
      </iconSet>
    </cfRule>
  </conditionalFormatting>
  <conditionalFormatting sqref="O49">
    <cfRule type="iconSet" priority="444">
      <iconSet reverse="1">
        <cfvo type="percent" val="0"/>
        <cfvo type="formula" val="$P$49"/>
        <cfvo type="formula" val="$P$49" gte="0"/>
      </iconSet>
    </cfRule>
  </conditionalFormatting>
  <conditionalFormatting sqref="O58">
    <cfRule type="iconSet" priority="443">
      <iconSet reverse="1">
        <cfvo type="percent" val="0"/>
        <cfvo type="formula" val="$P$58"/>
        <cfvo type="formula" val="$P$58" gte="0"/>
      </iconSet>
    </cfRule>
  </conditionalFormatting>
  <conditionalFormatting sqref="O7">
    <cfRule type="iconSet" priority="442">
      <iconSet reverse="1">
        <cfvo type="percent" val="0"/>
        <cfvo type="formula" val="$P$7"/>
        <cfvo type="formula" val="$P$7" gte="0"/>
      </iconSet>
    </cfRule>
  </conditionalFormatting>
  <conditionalFormatting sqref="O21">
    <cfRule type="iconSet" priority="441">
      <iconSet reverse="1">
        <cfvo type="percent" val="0"/>
        <cfvo type="formula" val="$P$21"/>
        <cfvo type="formula" val="$P$21" gte="0"/>
      </iconSet>
    </cfRule>
  </conditionalFormatting>
  <conditionalFormatting sqref="O59">
    <cfRule type="iconSet" priority="440">
      <iconSet reverse="1">
        <cfvo type="percent" val="0"/>
        <cfvo type="formula" val="$P$59"/>
        <cfvo type="formula" val="$P$59" gte="0"/>
      </iconSet>
    </cfRule>
  </conditionalFormatting>
  <conditionalFormatting sqref="O50">
    <cfRule type="iconSet" priority="439">
      <iconSet reverse="1">
        <cfvo type="percent" val="0"/>
        <cfvo type="formula" val="$P$50"/>
        <cfvo type="formula" val="$P$50" gte="0"/>
      </iconSet>
    </cfRule>
  </conditionalFormatting>
  <conditionalFormatting sqref="O22">
    <cfRule type="iconSet" priority="438">
      <iconSet reverse="1">
        <cfvo type="percent" val="0"/>
        <cfvo type="formula" val="$P$22"/>
        <cfvo type="formula" val="$P$22" gte="0"/>
      </iconSet>
    </cfRule>
  </conditionalFormatting>
  <conditionalFormatting sqref="O39">
    <cfRule type="iconSet" priority="437">
      <iconSet reverse="1">
        <cfvo type="percent" val="0"/>
        <cfvo type="formula" val="$P$39"/>
        <cfvo type="formula" val="$P$39" gte="0"/>
      </iconSet>
    </cfRule>
  </conditionalFormatting>
  <conditionalFormatting sqref="O51">
    <cfRule type="iconSet" priority="436">
      <iconSet reverse="1">
        <cfvo type="percent" val="0"/>
        <cfvo type="formula" val="$P$51"/>
        <cfvo type="formula" val="$P$51" gte="0"/>
      </iconSet>
    </cfRule>
  </conditionalFormatting>
  <conditionalFormatting sqref="O23">
    <cfRule type="iconSet" priority="435">
      <iconSet reverse="1">
        <cfvo type="percent" val="0"/>
        <cfvo type="formula" val="$P$23"/>
        <cfvo type="formula" val="$P$23" gte="0"/>
      </iconSet>
    </cfRule>
  </conditionalFormatting>
  <conditionalFormatting sqref="O24">
    <cfRule type="iconSet" priority="434">
      <iconSet reverse="1">
        <cfvo type="percent" val="0"/>
        <cfvo type="formula" val="$P$24"/>
        <cfvo type="formula" val="$P$24" gte="0"/>
      </iconSet>
    </cfRule>
  </conditionalFormatting>
  <conditionalFormatting sqref="O25">
    <cfRule type="iconSet" priority="433">
      <iconSet reverse="1">
        <cfvo type="percent" val="0"/>
        <cfvo type="formula" val="$P$25"/>
        <cfvo type="formula" val="$P$25" gte="0"/>
      </iconSet>
    </cfRule>
  </conditionalFormatting>
  <conditionalFormatting sqref="O8">
    <cfRule type="iconSet" priority="432">
      <iconSet reverse="1">
        <cfvo type="percent" val="0"/>
        <cfvo type="formula" val="$P$8"/>
        <cfvo type="formula" val="$P$8" gte="0"/>
      </iconSet>
    </cfRule>
  </conditionalFormatting>
  <conditionalFormatting sqref="O52">
    <cfRule type="iconSet" priority="431">
      <iconSet reverse="1">
        <cfvo type="percent" val="0"/>
        <cfvo type="formula" val="$P$52"/>
        <cfvo type="formula" val="$P$52" gte="0"/>
      </iconSet>
    </cfRule>
  </conditionalFormatting>
  <conditionalFormatting sqref="O53">
    <cfRule type="iconSet" priority="430">
      <iconSet reverse="1">
        <cfvo type="percent" val="0"/>
        <cfvo type="formula" val="$P$53"/>
        <cfvo type="formula" val="$P$53" gte="0"/>
      </iconSet>
    </cfRule>
  </conditionalFormatting>
  <conditionalFormatting sqref="O9">
    <cfRule type="iconSet" priority="429">
      <iconSet reverse="1">
        <cfvo type="percent" val="0"/>
        <cfvo type="formula" val="$P$9"/>
        <cfvo type="formula" val="$P$9" gte="0"/>
      </iconSet>
    </cfRule>
  </conditionalFormatting>
  <conditionalFormatting sqref="O10">
    <cfRule type="iconSet" priority="428">
      <iconSet reverse="1">
        <cfvo type="percent" val="0"/>
        <cfvo type="formula" val="$P$10"/>
        <cfvo type="formula" val="$P$10" gte="0"/>
      </iconSet>
    </cfRule>
  </conditionalFormatting>
  <conditionalFormatting sqref="O26">
    <cfRule type="iconSet" priority="427">
      <iconSet reverse="1">
        <cfvo type="percent" val="0"/>
        <cfvo type="formula" val="$P$26"/>
        <cfvo type="formula" val="$P$26" gte="0"/>
      </iconSet>
    </cfRule>
  </conditionalFormatting>
  <conditionalFormatting sqref="O11">
    <cfRule type="iconSet" priority="426">
      <iconSet reverse="1">
        <cfvo type="percent" val="0"/>
        <cfvo type="formula" val="$P$11"/>
        <cfvo type="formula" val="$P$11" gte="0"/>
      </iconSet>
    </cfRule>
  </conditionalFormatting>
  <conditionalFormatting sqref="O27">
    <cfRule type="iconSet" priority="425">
      <iconSet reverse="1">
        <cfvo type="percent" val="0"/>
        <cfvo type="formula" val="$P$27"/>
        <cfvo type="formula" val="$P$27" gte="0"/>
      </iconSet>
    </cfRule>
  </conditionalFormatting>
  <conditionalFormatting sqref="O40">
    <cfRule type="iconSet" priority="424">
      <iconSet reverse="1">
        <cfvo type="percent" val="0"/>
        <cfvo type="formula" val="$P$40"/>
        <cfvo type="formula" val="$P$40" gte="0"/>
      </iconSet>
    </cfRule>
  </conditionalFormatting>
  <conditionalFormatting sqref="O41">
    <cfRule type="iconSet" priority="423">
      <iconSet reverse="1">
        <cfvo type="percent" val="0"/>
        <cfvo type="formula" val="$P$41"/>
        <cfvo type="formula" val="$P$41" gte="0"/>
      </iconSet>
    </cfRule>
  </conditionalFormatting>
  <conditionalFormatting sqref="O12">
    <cfRule type="iconSet" priority="422">
      <iconSet reverse="1">
        <cfvo type="percent" val="0"/>
        <cfvo type="formula" val="$P$12"/>
        <cfvo type="formula" val="$P$12" gte="0"/>
      </iconSet>
    </cfRule>
  </conditionalFormatting>
  <conditionalFormatting sqref="O13">
    <cfRule type="iconSet" priority="421">
      <iconSet reverse="1">
        <cfvo type="percent" val="0"/>
        <cfvo type="formula" val="$P$13"/>
        <cfvo type="formula" val="$P$13" gte="0"/>
      </iconSet>
    </cfRule>
  </conditionalFormatting>
  <conditionalFormatting sqref="O44">
    <cfRule type="iconSet" priority="420">
      <iconSet reverse="1">
        <cfvo type="percent" val="0"/>
        <cfvo type="formula" val="$P$44"/>
        <cfvo type="formula" val="$P$44" gte="0"/>
      </iconSet>
    </cfRule>
  </conditionalFormatting>
  <conditionalFormatting sqref="O14">
    <cfRule type="iconSet" priority="419">
      <iconSet reverse="1">
        <cfvo type="percent" val="0"/>
        <cfvo type="formula" val="$P$14"/>
        <cfvo type="formula" val="$P$14" gte="0"/>
      </iconSet>
    </cfRule>
  </conditionalFormatting>
  <conditionalFormatting sqref="O45">
    <cfRule type="iconSet" priority="418">
      <iconSet reverse="1">
        <cfvo type="percent" val="0"/>
        <cfvo type="formula" val="$P$45"/>
        <cfvo type="formula" val="$P$45" gte="0"/>
      </iconSet>
    </cfRule>
  </conditionalFormatting>
  <conditionalFormatting sqref="O54">
    <cfRule type="iconSet" priority="417">
      <iconSet reverse="1">
        <cfvo type="percent" val="0"/>
        <cfvo type="formula" val="$P$54"/>
        <cfvo type="formula" val="$P$54" gte="0"/>
      </iconSet>
    </cfRule>
  </conditionalFormatting>
  <conditionalFormatting sqref="O42">
    <cfRule type="iconSet" priority="416">
      <iconSet reverse="1">
        <cfvo type="percent" val="0"/>
        <cfvo type="formula" val="$P$42"/>
        <cfvo type="formula" val="$P$42" gte="0"/>
      </iconSet>
    </cfRule>
  </conditionalFormatting>
  <conditionalFormatting sqref="O15">
    <cfRule type="iconSet" priority="415">
      <iconSet reverse="1">
        <cfvo type="percent" val="0"/>
        <cfvo type="formula" val="$P$15"/>
        <cfvo type="formula" val="$P$15" gte="0"/>
      </iconSet>
    </cfRule>
  </conditionalFormatting>
  <conditionalFormatting sqref="O43">
    <cfRule type="iconSet" priority="414">
      <iconSet reverse="1">
        <cfvo type="percent" val="0"/>
        <cfvo type="formula" val="$P$43"/>
        <cfvo type="formula" val="$P$43" gte="0"/>
      </iconSet>
    </cfRule>
  </conditionalFormatting>
  <conditionalFormatting sqref="O16">
    <cfRule type="iconSet" priority="413">
      <iconSet reverse="1">
        <cfvo type="percent" val="0"/>
        <cfvo type="formula" val="$P$16"/>
        <cfvo type="formula" val="$P$16" gte="0"/>
      </iconSet>
    </cfRule>
  </conditionalFormatting>
  <conditionalFormatting sqref="O17">
    <cfRule type="iconSet" priority="412">
      <iconSet reverse="1">
        <cfvo type="percent" val="0"/>
        <cfvo type="formula" val="$P$17"/>
        <cfvo type="formula" val="$P$17" gte="0"/>
      </iconSet>
    </cfRule>
  </conditionalFormatting>
  <conditionalFormatting sqref="O29">
    <cfRule type="iconSet" priority="411">
      <iconSet reverse="1">
        <cfvo type="percent" val="0"/>
        <cfvo type="formula" val="$P$29"/>
        <cfvo type="formula" val="$P$29" gte="0"/>
      </iconSet>
    </cfRule>
  </conditionalFormatting>
  <conditionalFormatting sqref="O55">
    <cfRule type="iconSet" priority="410">
      <iconSet reverse="1">
        <cfvo type="percent" val="0"/>
        <cfvo type="formula" val="$P$55"/>
        <cfvo type="formula" val="$P$55" gte="0"/>
      </iconSet>
    </cfRule>
  </conditionalFormatting>
  <conditionalFormatting sqref="O28">
    <cfRule type="iconSet" priority="409">
      <iconSet reverse="1">
        <cfvo type="percent" val="0"/>
        <cfvo type="formula" val="$P$28"/>
        <cfvo type="formula" val="$P$28" gte="0"/>
      </iconSet>
    </cfRule>
  </conditionalFormatting>
  <conditionalFormatting sqref="O18">
    <cfRule type="iconSet" priority="408">
      <iconSet reverse="1">
        <cfvo type="percent" val="0"/>
        <cfvo type="formula" val="$P$18"/>
        <cfvo type="formula" val="$P$18" gte="0"/>
      </iconSet>
    </cfRule>
  </conditionalFormatting>
  <conditionalFormatting sqref="O56">
    <cfRule type="iconSet" priority="407">
      <iconSet reverse="1">
        <cfvo type="percent" val="0"/>
        <cfvo type="formula" val="$P$56"/>
        <cfvo type="formula" val="$P$56" gte="0"/>
      </iconSet>
    </cfRule>
  </conditionalFormatting>
  <conditionalFormatting sqref="O30">
    <cfRule type="iconSet" priority="406">
      <iconSet reverse="1">
        <cfvo type="percent" val="0"/>
        <cfvo type="formula" val="$P$30"/>
        <cfvo type="formula" val="$P$30" gte="0"/>
      </iconSet>
    </cfRule>
  </conditionalFormatting>
  <conditionalFormatting sqref="O31">
    <cfRule type="iconSet" priority="405">
      <iconSet reverse="1">
        <cfvo type="percent" val="0"/>
        <cfvo type="formula" val="$P$31"/>
        <cfvo type="formula" val="$P$31" gte="0"/>
      </iconSet>
    </cfRule>
  </conditionalFormatting>
  <conditionalFormatting sqref="O46">
    <cfRule type="iconSet" priority="404">
      <iconSet reverse="1">
        <cfvo type="percent" val="0"/>
        <cfvo type="formula" val="$P$46"/>
        <cfvo type="formula" val="$P$46" gte="0"/>
      </iconSet>
    </cfRule>
  </conditionalFormatting>
  <conditionalFormatting sqref="O47">
    <cfRule type="iconSet" priority="403">
      <iconSet reverse="1">
        <cfvo type="percent" val="0"/>
        <cfvo type="formula" val="$P$47"/>
        <cfvo type="formula" val="$P$47" gte="0"/>
      </iconSet>
    </cfRule>
  </conditionalFormatting>
  <conditionalFormatting sqref="O32">
    <cfRule type="iconSet" priority="402">
      <iconSet reverse="1">
        <cfvo type="percent" val="0"/>
        <cfvo type="formula" val="$P$32"/>
        <cfvo type="formula" val="$P$32" gte="0"/>
      </iconSet>
    </cfRule>
  </conditionalFormatting>
  <conditionalFormatting sqref="O60">
    <cfRule type="iconSet" priority="401">
      <iconSet reverse="1">
        <cfvo type="percent" val="0"/>
        <cfvo type="formula" val="$P$60"/>
        <cfvo type="formula" val="$P$60" gte="0"/>
      </iconSet>
    </cfRule>
  </conditionalFormatting>
  <conditionalFormatting sqref="O61">
    <cfRule type="iconSet" priority="400">
      <iconSet reverse="1">
        <cfvo type="percent" val="0"/>
        <cfvo type="formula" val="$P$61"/>
        <cfvo type="formula" val="$P$61" gte="0"/>
      </iconSet>
    </cfRule>
  </conditionalFormatting>
  <conditionalFormatting sqref="O57">
    <cfRule type="iconSet" priority="399">
      <iconSet reverse="1">
        <cfvo type="percent" val="0"/>
        <cfvo type="formula" val="$P$57"/>
        <cfvo type="formula" val="$P$57" gte="0"/>
      </iconSet>
    </cfRule>
  </conditionalFormatting>
  <conditionalFormatting sqref="O33">
    <cfRule type="iconSet" priority="398">
      <iconSet reverse="1">
        <cfvo type="percent" val="0"/>
        <cfvo type="formula" val="$P$33"/>
        <cfvo type="formula" val="$P$33" gte="0"/>
      </iconSet>
    </cfRule>
  </conditionalFormatting>
  <conditionalFormatting sqref="O34">
    <cfRule type="iconSet" priority="397">
      <iconSet reverse="1">
        <cfvo type="percent" val="0"/>
        <cfvo type="formula" val="$P$34"/>
        <cfvo type="formula" val="$P$34" gte="0"/>
      </iconSet>
    </cfRule>
  </conditionalFormatting>
  <conditionalFormatting sqref="O48">
    <cfRule type="iconSet" priority="396">
      <iconSet reverse="1">
        <cfvo type="percent" val="0"/>
        <cfvo type="formula" val="$P$48"/>
        <cfvo type="formula" val="$P$48" gte="0"/>
      </iconSet>
    </cfRule>
  </conditionalFormatting>
  <conditionalFormatting sqref="O19">
    <cfRule type="iconSet" priority="395">
      <iconSet reverse="1">
        <cfvo type="percent" val="0"/>
        <cfvo type="formula" val="$P$19"/>
        <cfvo type="formula" val="$P$19" gte="0"/>
      </iconSet>
    </cfRule>
  </conditionalFormatting>
  <conditionalFormatting sqref="O35">
    <cfRule type="iconSet" priority="394">
      <iconSet reverse="1">
        <cfvo type="percent" val="0"/>
        <cfvo type="formula" val="$P$35"/>
        <cfvo type="formula" val="$P$35" gte="0"/>
      </iconSet>
    </cfRule>
  </conditionalFormatting>
  <conditionalFormatting sqref="O62">
    <cfRule type="iconSet" priority="393">
      <iconSet reverse="1">
        <cfvo type="percent" val="0"/>
        <cfvo type="formula" val="$P$62"/>
        <cfvo type="formula" val="$P$62" gte="0"/>
      </iconSet>
    </cfRule>
  </conditionalFormatting>
  <conditionalFormatting sqref="O36">
    <cfRule type="iconSet" priority="392">
      <iconSet reverse="1">
        <cfvo type="percent" val="0"/>
        <cfvo type="formula" val="$P$36"/>
        <cfvo type="formula" val="$P$36" gte="0"/>
      </iconSet>
    </cfRule>
  </conditionalFormatting>
  <conditionalFormatting sqref="O69">
    <cfRule type="iconSet" priority="391">
      <iconSet reverse="1">
        <cfvo type="percent" val="0"/>
        <cfvo type="formula" val="$P$69"/>
        <cfvo type="formula" val="$P$69" gte="0"/>
      </iconSet>
    </cfRule>
  </conditionalFormatting>
  <conditionalFormatting sqref="O70">
    <cfRule type="iconSet" priority="390">
      <iconSet reverse="1">
        <cfvo type="percent" val="0"/>
        <cfvo type="formula" val="$P$70"/>
        <cfvo type="formula" val="$P$70" gte="0"/>
      </iconSet>
    </cfRule>
  </conditionalFormatting>
  <conditionalFormatting sqref="O71">
    <cfRule type="iconSet" priority="389">
      <iconSet reverse="1">
        <cfvo type="percent" val="0"/>
        <cfvo type="formula" val="$P$71"/>
        <cfvo type="formula" val="$P$71" gte="0"/>
      </iconSet>
    </cfRule>
  </conditionalFormatting>
  <conditionalFormatting sqref="O72">
    <cfRule type="iconSet" priority="388">
      <iconSet reverse="1">
        <cfvo type="percent" val="0"/>
        <cfvo type="formula" val="$P$72"/>
        <cfvo type="formula" val="$P$72" gte="0"/>
      </iconSet>
    </cfRule>
  </conditionalFormatting>
  <conditionalFormatting sqref="O73">
    <cfRule type="iconSet" priority="387">
      <iconSet reverse="1">
        <cfvo type="percent" val="0"/>
        <cfvo type="formula" val="$P$73"/>
        <cfvo type="formula" val="$P$73" gte="0"/>
      </iconSet>
    </cfRule>
  </conditionalFormatting>
  <conditionalFormatting sqref="D6">
    <cfRule type="iconSet" priority="386">
      <iconSet iconSet="3Arrows">
        <cfvo type="percent" val="0"/>
        <cfvo type="formula" val="$E$6"/>
        <cfvo type="formula" val="$E$6" gte="0"/>
      </iconSet>
    </cfRule>
  </conditionalFormatting>
  <conditionalFormatting sqref="D37">
    <cfRule type="iconSet" priority="385">
      <iconSet iconSet="3Arrows">
        <cfvo type="percent" val="0"/>
        <cfvo type="formula" val="$E$37"/>
        <cfvo type="formula" val="$E$37" gte="0"/>
      </iconSet>
    </cfRule>
  </conditionalFormatting>
  <conditionalFormatting sqref="D20">
    <cfRule type="iconSet" priority="384">
      <iconSet iconSet="3Arrows">
        <cfvo type="percent" val="0"/>
        <cfvo type="formula" val="$E$20"/>
        <cfvo type="formula" val="$E$20" gte="0"/>
      </iconSet>
    </cfRule>
  </conditionalFormatting>
  <conditionalFormatting sqref="D38">
    <cfRule type="iconSet" priority="383">
      <iconSet iconSet="3Arrows">
        <cfvo type="percent" val="0"/>
        <cfvo type="formula" val="$E$38"/>
        <cfvo type="formula" val="$E$38" gte="0"/>
      </iconSet>
    </cfRule>
  </conditionalFormatting>
  <conditionalFormatting sqref="D49">
    <cfRule type="iconSet" priority="382">
      <iconSet iconSet="3Arrows">
        <cfvo type="percent" val="0"/>
        <cfvo type="formula" val="$E$49"/>
        <cfvo type="formula" val="$E$49" gte="0"/>
      </iconSet>
    </cfRule>
  </conditionalFormatting>
  <conditionalFormatting sqref="D58">
    <cfRule type="iconSet" priority="381">
      <iconSet iconSet="3Arrows">
        <cfvo type="percent" val="0"/>
        <cfvo type="formula" val="$E$58"/>
        <cfvo type="formula" val="$E$58" gte="0"/>
      </iconSet>
    </cfRule>
  </conditionalFormatting>
  <conditionalFormatting sqref="D7">
    <cfRule type="iconSet" priority="380">
      <iconSet iconSet="3Arrows">
        <cfvo type="percent" val="0"/>
        <cfvo type="formula" val="$E$7"/>
        <cfvo type="formula" val="$E$7" gte="0"/>
      </iconSet>
    </cfRule>
  </conditionalFormatting>
  <conditionalFormatting sqref="D21">
    <cfRule type="iconSet" priority="379">
      <iconSet iconSet="3Arrows">
        <cfvo type="percent" val="0"/>
        <cfvo type="formula" val="$E$21"/>
        <cfvo type="formula" val="$E$21" gte="0"/>
      </iconSet>
    </cfRule>
  </conditionalFormatting>
  <conditionalFormatting sqref="D59">
    <cfRule type="iconSet" priority="378">
      <iconSet iconSet="3Arrows">
        <cfvo type="percent" val="0"/>
        <cfvo type="formula" val="$E$59"/>
        <cfvo type="formula" val="$E$59" gte="0"/>
      </iconSet>
    </cfRule>
  </conditionalFormatting>
  <conditionalFormatting sqref="D50">
    <cfRule type="iconSet" priority="377">
      <iconSet iconSet="3Arrows">
        <cfvo type="percent" val="0"/>
        <cfvo type="formula" val="$E$50"/>
        <cfvo type="formula" val="$E$50" gte="0"/>
      </iconSet>
    </cfRule>
  </conditionalFormatting>
  <conditionalFormatting sqref="D22">
    <cfRule type="iconSet" priority="376">
      <iconSet iconSet="3Arrows">
        <cfvo type="percent" val="0"/>
        <cfvo type="formula" val="$E$22"/>
        <cfvo type="formula" val="$E$22" gte="0"/>
      </iconSet>
    </cfRule>
  </conditionalFormatting>
  <conditionalFormatting sqref="D39">
    <cfRule type="iconSet" priority="375">
      <iconSet iconSet="3Arrows">
        <cfvo type="percent" val="0"/>
        <cfvo type="formula" val="$E$39"/>
        <cfvo type="formula" val="$E$39" gte="0"/>
      </iconSet>
    </cfRule>
  </conditionalFormatting>
  <conditionalFormatting sqref="D51">
    <cfRule type="iconSet" priority="374">
      <iconSet iconSet="3Arrows">
        <cfvo type="percent" val="0"/>
        <cfvo type="formula" val="$E$51"/>
        <cfvo type="formula" val="$E$51" gte="0"/>
      </iconSet>
    </cfRule>
  </conditionalFormatting>
  <conditionalFormatting sqref="D23">
    <cfRule type="iconSet" priority="373">
      <iconSet iconSet="3Arrows">
        <cfvo type="percent" val="0"/>
        <cfvo type="formula" val="$E$23"/>
        <cfvo type="formula" val="$E$23" gte="0"/>
      </iconSet>
    </cfRule>
  </conditionalFormatting>
  <conditionalFormatting sqref="D24">
    <cfRule type="iconSet" priority="372">
      <iconSet iconSet="3Arrows">
        <cfvo type="percent" val="0"/>
        <cfvo type="formula" val="$E$24"/>
        <cfvo type="formula" val="$E$24" gte="0"/>
      </iconSet>
    </cfRule>
  </conditionalFormatting>
  <conditionalFormatting sqref="D25">
    <cfRule type="iconSet" priority="371">
      <iconSet iconSet="3Arrows">
        <cfvo type="percent" val="0"/>
        <cfvo type="formula" val="$E$25"/>
        <cfvo type="formula" val="$E$25" gte="0"/>
      </iconSet>
    </cfRule>
  </conditionalFormatting>
  <conditionalFormatting sqref="D8">
    <cfRule type="iconSet" priority="370">
      <iconSet iconSet="3Arrows">
        <cfvo type="percent" val="0"/>
        <cfvo type="formula" val="$E$8"/>
        <cfvo type="formula" val="$E$8" gte="0"/>
      </iconSet>
    </cfRule>
  </conditionalFormatting>
  <conditionalFormatting sqref="D52">
    <cfRule type="iconSet" priority="369">
      <iconSet iconSet="3Arrows">
        <cfvo type="percent" val="0"/>
        <cfvo type="formula" val="$E$52"/>
        <cfvo type="formula" val="$E$52" gte="0"/>
      </iconSet>
    </cfRule>
  </conditionalFormatting>
  <conditionalFormatting sqref="D53">
    <cfRule type="iconSet" priority="368">
      <iconSet iconSet="3Arrows">
        <cfvo type="percent" val="0"/>
        <cfvo type="formula" val="$E$53"/>
        <cfvo type="formula" val="$E$53" gte="0"/>
      </iconSet>
    </cfRule>
  </conditionalFormatting>
  <conditionalFormatting sqref="D9">
    <cfRule type="iconSet" priority="367">
      <iconSet iconSet="3Arrows">
        <cfvo type="percent" val="0"/>
        <cfvo type="formula" val="$E$9"/>
        <cfvo type="formula" val="$E$9" gte="0"/>
      </iconSet>
    </cfRule>
  </conditionalFormatting>
  <conditionalFormatting sqref="D10">
    <cfRule type="iconSet" priority="366">
      <iconSet iconSet="3Arrows">
        <cfvo type="percent" val="0"/>
        <cfvo type="formula" val="$E$10"/>
        <cfvo type="formula" val="$E$10" gte="0"/>
      </iconSet>
    </cfRule>
  </conditionalFormatting>
  <conditionalFormatting sqref="D26">
    <cfRule type="iconSet" priority="365">
      <iconSet iconSet="3Arrows">
        <cfvo type="percent" val="0"/>
        <cfvo type="formula" val="$E$26"/>
        <cfvo type="formula" val="$E$26" gte="0"/>
      </iconSet>
    </cfRule>
  </conditionalFormatting>
  <conditionalFormatting sqref="D11">
    <cfRule type="iconSet" priority="364">
      <iconSet iconSet="3Arrows">
        <cfvo type="percent" val="0"/>
        <cfvo type="formula" val="$E$11"/>
        <cfvo type="formula" val="$E$11" gte="0"/>
      </iconSet>
    </cfRule>
  </conditionalFormatting>
  <conditionalFormatting sqref="D27">
    <cfRule type="iconSet" priority="363">
      <iconSet iconSet="3Arrows">
        <cfvo type="percent" val="0"/>
        <cfvo type="formula" val="$E$27"/>
        <cfvo type="formula" val="$E$27" gte="0"/>
      </iconSet>
    </cfRule>
  </conditionalFormatting>
  <conditionalFormatting sqref="D40">
    <cfRule type="iconSet" priority="362">
      <iconSet iconSet="3Arrows">
        <cfvo type="percent" val="0"/>
        <cfvo type="formula" val="$E$40"/>
        <cfvo type="formula" val="$E$40" gte="0"/>
      </iconSet>
    </cfRule>
  </conditionalFormatting>
  <conditionalFormatting sqref="D41">
    <cfRule type="iconSet" priority="361">
      <iconSet iconSet="3Arrows">
        <cfvo type="percent" val="0"/>
        <cfvo type="formula" val="$E$41"/>
        <cfvo type="formula" val="$E$41" gte="0"/>
      </iconSet>
    </cfRule>
  </conditionalFormatting>
  <conditionalFormatting sqref="D12">
    <cfRule type="iconSet" priority="360">
      <iconSet iconSet="3Arrows">
        <cfvo type="percent" val="0"/>
        <cfvo type="formula" val="$E$12"/>
        <cfvo type="formula" val="$E$12" gte="0"/>
      </iconSet>
    </cfRule>
  </conditionalFormatting>
  <conditionalFormatting sqref="D13">
    <cfRule type="iconSet" priority="359">
      <iconSet iconSet="3Arrows">
        <cfvo type="percent" val="0"/>
        <cfvo type="formula" val="$E$13"/>
        <cfvo type="formula" val="$E$13" gte="0"/>
      </iconSet>
    </cfRule>
  </conditionalFormatting>
  <conditionalFormatting sqref="D44">
    <cfRule type="iconSet" priority="358">
      <iconSet iconSet="3Arrows">
        <cfvo type="percent" val="0"/>
        <cfvo type="formula" val="$E$44"/>
        <cfvo type="formula" val="$E$44" gte="0"/>
      </iconSet>
    </cfRule>
  </conditionalFormatting>
  <conditionalFormatting sqref="D14">
    <cfRule type="iconSet" priority="357">
      <iconSet iconSet="3Arrows">
        <cfvo type="percent" val="0"/>
        <cfvo type="formula" val="$E$14"/>
        <cfvo type="formula" val="$E$14" gte="0"/>
      </iconSet>
    </cfRule>
  </conditionalFormatting>
  <conditionalFormatting sqref="D45">
    <cfRule type="iconSet" priority="356">
      <iconSet iconSet="3Arrows">
        <cfvo type="percent" val="0"/>
        <cfvo type="formula" val="$E$45"/>
        <cfvo type="formula" val="$E$45" gte="0"/>
      </iconSet>
    </cfRule>
  </conditionalFormatting>
  <conditionalFormatting sqref="D54">
    <cfRule type="iconSet" priority="355">
      <iconSet iconSet="3Arrows">
        <cfvo type="percent" val="0"/>
        <cfvo type="formula" val="$E$54"/>
        <cfvo type="formula" val="$E$54" gte="0"/>
      </iconSet>
    </cfRule>
  </conditionalFormatting>
  <conditionalFormatting sqref="D42">
    <cfRule type="iconSet" priority="354">
      <iconSet iconSet="3Arrows">
        <cfvo type="percent" val="0"/>
        <cfvo type="formula" val="$E$42"/>
        <cfvo type="formula" val="$E$42" gte="0"/>
      </iconSet>
    </cfRule>
  </conditionalFormatting>
  <conditionalFormatting sqref="D15">
    <cfRule type="iconSet" priority="353">
      <iconSet iconSet="3Arrows">
        <cfvo type="percent" val="0"/>
        <cfvo type="formula" val="$E$15"/>
        <cfvo type="formula" val="$E$15" gte="0"/>
      </iconSet>
    </cfRule>
  </conditionalFormatting>
  <conditionalFormatting sqref="D43">
    <cfRule type="iconSet" priority="352">
      <iconSet iconSet="3Arrows">
        <cfvo type="percent" val="0"/>
        <cfvo type="formula" val="$E$43"/>
        <cfvo type="formula" val="$E$43" gte="0"/>
      </iconSet>
    </cfRule>
  </conditionalFormatting>
  <conditionalFormatting sqref="D16">
    <cfRule type="iconSet" priority="351">
      <iconSet iconSet="3Arrows">
        <cfvo type="percent" val="0"/>
        <cfvo type="formula" val="$E$16"/>
        <cfvo type="formula" val="$E$16" gte="0"/>
      </iconSet>
    </cfRule>
  </conditionalFormatting>
  <conditionalFormatting sqref="D17">
    <cfRule type="iconSet" priority="350">
      <iconSet iconSet="3Arrows">
        <cfvo type="percent" val="0"/>
        <cfvo type="formula" val="$E$17"/>
        <cfvo type="formula" val="$E$17" gte="0"/>
      </iconSet>
    </cfRule>
  </conditionalFormatting>
  <conditionalFormatting sqref="D29">
    <cfRule type="iconSet" priority="349">
      <iconSet iconSet="3Arrows">
        <cfvo type="percent" val="0"/>
        <cfvo type="formula" val="$E$29"/>
        <cfvo type="formula" val="$E$29" gte="0"/>
      </iconSet>
    </cfRule>
  </conditionalFormatting>
  <conditionalFormatting sqref="D55">
    <cfRule type="iconSet" priority="348">
      <iconSet iconSet="3Arrows">
        <cfvo type="percent" val="0"/>
        <cfvo type="formula" val="$E$55"/>
        <cfvo type="formula" val="$E$55" gte="0"/>
      </iconSet>
    </cfRule>
  </conditionalFormatting>
  <conditionalFormatting sqref="D28">
    <cfRule type="iconSet" priority="347">
      <iconSet iconSet="3Arrows">
        <cfvo type="percent" val="0"/>
        <cfvo type="formula" val="$E$28"/>
        <cfvo type="formula" val="$E$28" gte="0"/>
      </iconSet>
    </cfRule>
  </conditionalFormatting>
  <conditionalFormatting sqref="D18">
    <cfRule type="iconSet" priority="346">
      <iconSet iconSet="3Arrows">
        <cfvo type="percent" val="0"/>
        <cfvo type="formula" val="$E$18"/>
        <cfvo type="formula" val="$E$18" gte="0"/>
      </iconSet>
    </cfRule>
  </conditionalFormatting>
  <conditionalFormatting sqref="D56">
    <cfRule type="iconSet" priority="345">
      <iconSet iconSet="3Arrows">
        <cfvo type="percent" val="0"/>
        <cfvo type="formula" val="$E$56"/>
        <cfvo type="formula" val="$E$56" gte="0"/>
      </iconSet>
    </cfRule>
  </conditionalFormatting>
  <conditionalFormatting sqref="D30">
    <cfRule type="iconSet" priority="344">
      <iconSet iconSet="3Arrows">
        <cfvo type="percent" val="0"/>
        <cfvo type="formula" val="$E$30"/>
        <cfvo type="formula" val="$E$30" gte="0"/>
      </iconSet>
    </cfRule>
  </conditionalFormatting>
  <conditionalFormatting sqref="D31">
    <cfRule type="iconSet" priority="343">
      <iconSet iconSet="3Arrows">
        <cfvo type="percent" val="0"/>
        <cfvo type="formula" val="$E$31"/>
        <cfvo type="formula" val="$E$31" gte="0"/>
      </iconSet>
    </cfRule>
  </conditionalFormatting>
  <conditionalFormatting sqref="D46">
    <cfRule type="iconSet" priority="342">
      <iconSet iconSet="3Arrows">
        <cfvo type="percent" val="0"/>
        <cfvo type="formula" val="$E$46"/>
        <cfvo type="formula" val="$E$46" gte="0"/>
      </iconSet>
    </cfRule>
  </conditionalFormatting>
  <conditionalFormatting sqref="D47">
    <cfRule type="iconSet" priority="341">
      <iconSet iconSet="3Arrows">
        <cfvo type="percent" val="0"/>
        <cfvo type="formula" val="$E$47"/>
        <cfvo type="formula" val="$E$47" gte="0"/>
      </iconSet>
    </cfRule>
  </conditionalFormatting>
  <conditionalFormatting sqref="D32">
    <cfRule type="iconSet" priority="340">
      <iconSet iconSet="3Arrows">
        <cfvo type="percent" val="0"/>
        <cfvo type="formula" val="$E$32"/>
        <cfvo type="formula" val="$E$32" gte="0"/>
      </iconSet>
    </cfRule>
  </conditionalFormatting>
  <conditionalFormatting sqref="D60">
    <cfRule type="iconSet" priority="339">
      <iconSet iconSet="3Arrows">
        <cfvo type="percent" val="0"/>
        <cfvo type="formula" val="$E$60"/>
        <cfvo type="formula" val="$E$60" gte="0"/>
      </iconSet>
    </cfRule>
  </conditionalFormatting>
  <conditionalFormatting sqref="D61">
    <cfRule type="iconSet" priority="338">
      <iconSet iconSet="3Arrows">
        <cfvo type="percent" val="0"/>
        <cfvo type="formula" val="$E$61"/>
        <cfvo type="formula" val="$E$61" gte="0"/>
      </iconSet>
    </cfRule>
  </conditionalFormatting>
  <conditionalFormatting sqref="D57">
    <cfRule type="iconSet" priority="337">
      <iconSet iconSet="3Arrows">
        <cfvo type="percent" val="0"/>
        <cfvo type="formula" val="$E$57"/>
        <cfvo type="formula" val="$E$57" gte="0"/>
      </iconSet>
    </cfRule>
  </conditionalFormatting>
  <conditionalFormatting sqref="D33">
    <cfRule type="iconSet" priority="336">
      <iconSet iconSet="3Arrows">
        <cfvo type="percent" val="0"/>
        <cfvo type="formula" val="$E$33"/>
        <cfvo type="formula" val="$E$33" gte="0"/>
      </iconSet>
    </cfRule>
  </conditionalFormatting>
  <conditionalFormatting sqref="D34">
    <cfRule type="iconSet" priority="335">
      <iconSet iconSet="3Arrows">
        <cfvo type="percent" val="0"/>
        <cfvo type="formula" val="$E$34"/>
        <cfvo type="formula" val="$E$34" gte="0"/>
      </iconSet>
    </cfRule>
  </conditionalFormatting>
  <conditionalFormatting sqref="D48">
    <cfRule type="iconSet" priority="334">
      <iconSet iconSet="3Arrows">
        <cfvo type="percent" val="0"/>
        <cfvo type="formula" val="$E$48"/>
        <cfvo type="formula" val="$E$48" gte="0"/>
      </iconSet>
    </cfRule>
  </conditionalFormatting>
  <conditionalFormatting sqref="D19">
    <cfRule type="iconSet" priority="333">
      <iconSet iconSet="3Arrows">
        <cfvo type="percent" val="0"/>
        <cfvo type="formula" val="$E$19"/>
        <cfvo type="formula" val="$E$19" gte="0"/>
      </iconSet>
    </cfRule>
  </conditionalFormatting>
  <conditionalFormatting sqref="D35">
    <cfRule type="iconSet" priority="332">
      <iconSet iconSet="3Arrows">
        <cfvo type="percent" val="0"/>
        <cfvo type="formula" val="$E$35"/>
        <cfvo type="formula" val="$E$35" gte="0"/>
      </iconSet>
    </cfRule>
  </conditionalFormatting>
  <conditionalFormatting sqref="D62">
    <cfRule type="iconSet" priority="331">
      <iconSet iconSet="3Arrows">
        <cfvo type="percent" val="0"/>
        <cfvo type="formula" val="$E$62"/>
        <cfvo type="formula" val="$E$62" gte="0"/>
      </iconSet>
    </cfRule>
  </conditionalFormatting>
  <conditionalFormatting sqref="D36">
    <cfRule type="iconSet" priority="330">
      <iconSet iconSet="3Arrows">
        <cfvo type="percent" val="0"/>
        <cfvo type="formula" val="$E$36"/>
        <cfvo type="formula" val="$E$36" gte="0"/>
      </iconSet>
    </cfRule>
  </conditionalFormatting>
  <conditionalFormatting sqref="D69">
    <cfRule type="iconSet" priority="329">
      <iconSet iconSet="3Arrows">
        <cfvo type="percent" val="0"/>
        <cfvo type="formula" val="$E$69"/>
        <cfvo type="formula" val="$E$69" gte="0"/>
      </iconSet>
    </cfRule>
  </conditionalFormatting>
  <conditionalFormatting sqref="D70">
    <cfRule type="iconSet" priority="328">
      <iconSet iconSet="3Arrows">
        <cfvo type="percent" val="0"/>
        <cfvo type="formula" val="$E$70"/>
        <cfvo type="formula" val="$E$70" gte="0"/>
      </iconSet>
    </cfRule>
  </conditionalFormatting>
  <conditionalFormatting sqref="D71">
    <cfRule type="iconSet" priority="327">
      <iconSet iconSet="3Arrows">
        <cfvo type="percent" val="0"/>
        <cfvo type="formula" val="$E$71"/>
        <cfvo type="formula" val="$E$71" gte="0"/>
      </iconSet>
    </cfRule>
  </conditionalFormatting>
  <conditionalFormatting sqref="D72">
    <cfRule type="iconSet" priority="326">
      <iconSet iconSet="3Arrows">
        <cfvo type="percent" val="0"/>
        <cfvo type="formula" val="$E$72"/>
        <cfvo type="formula" val="$E$72" gte="0"/>
      </iconSet>
    </cfRule>
  </conditionalFormatting>
  <conditionalFormatting sqref="D73">
    <cfRule type="iconSet" priority="325">
      <iconSet iconSet="3Arrows">
        <cfvo type="percent" val="0"/>
        <cfvo type="formula" val="$E$73"/>
        <cfvo type="formula" val="$E$73" gte="0"/>
      </iconSet>
    </cfRule>
  </conditionalFormatting>
  <conditionalFormatting sqref="G6">
    <cfRule type="iconSet" priority="324">
      <iconSet iconSet="3Arrows">
        <cfvo type="percent" val="0"/>
        <cfvo type="formula" val="$H$6"/>
        <cfvo type="formula" val="$H$6" gte="0"/>
      </iconSet>
    </cfRule>
  </conditionalFormatting>
  <conditionalFormatting sqref="G37">
    <cfRule type="iconSet" priority="323">
      <iconSet iconSet="3Arrows">
        <cfvo type="percent" val="0"/>
        <cfvo type="formula" val="$H$37"/>
        <cfvo type="formula" val="$H$37" gte="0"/>
      </iconSet>
    </cfRule>
  </conditionalFormatting>
  <conditionalFormatting sqref="G20">
    <cfRule type="iconSet" priority="322">
      <iconSet iconSet="3Arrows">
        <cfvo type="percent" val="0"/>
        <cfvo type="formula" val="$H$20"/>
        <cfvo type="formula" val="$H$20" gte="0"/>
      </iconSet>
    </cfRule>
  </conditionalFormatting>
  <conditionalFormatting sqref="G38">
    <cfRule type="iconSet" priority="321">
      <iconSet iconSet="3Arrows">
        <cfvo type="percent" val="0"/>
        <cfvo type="formula" val="$H$38"/>
        <cfvo type="formula" val="$H$38" gte="0"/>
      </iconSet>
    </cfRule>
  </conditionalFormatting>
  <conditionalFormatting sqref="G49">
    <cfRule type="iconSet" priority="320">
      <iconSet iconSet="3Arrows">
        <cfvo type="percent" val="0"/>
        <cfvo type="formula" val="$H$49"/>
        <cfvo type="formula" val="$H$49" gte="0"/>
      </iconSet>
    </cfRule>
  </conditionalFormatting>
  <conditionalFormatting sqref="G58">
    <cfRule type="iconSet" priority="319">
      <iconSet iconSet="3Arrows">
        <cfvo type="percent" val="0"/>
        <cfvo type="formula" val="$H$58"/>
        <cfvo type="formula" val="$H$58" gte="0"/>
      </iconSet>
    </cfRule>
  </conditionalFormatting>
  <conditionalFormatting sqref="G7">
    <cfRule type="iconSet" priority="318">
      <iconSet iconSet="3Arrows">
        <cfvo type="percent" val="0"/>
        <cfvo type="formula" val="$H$7"/>
        <cfvo type="formula" val="$H$7" gte="0"/>
      </iconSet>
    </cfRule>
  </conditionalFormatting>
  <conditionalFormatting sqref="G21">
    <cfRule type="iconSet" priority="317">
      <iconSet iconSet="3Arrows">
        <cfvo type="percent" val="0"/>
        <cfvo type="formula" val="$H$21"/>
        <cfvo type="formula" val="$H$21" gte="0"/>
      </iconSet>
    </cfRule>
  </conditionalFormatting>
  <conditionalFormatting sqref="G59">
    <cfRule type="iconSet" priority="316">
      <iconSet iconSet="3Arrows">
        <cfvo type="percent" val="0"/>
        <cfvo type="formula" val="$H$59"/>
        <cfvo type="formula" val="$H$59" gte="0"/>
      </iconSet>
    </cfRule>
  </conditionalFormatting>
  <conditionalFormatting sqref="G50">
    <cfRule type="iconSet" priority="315">
      <iconSet iconSet="3Arrows">
        <cfvo type="percent" val="0"/>
        <cfvo type="formula" val="$H$50"/>
        <cfvo type="formula" val="$H$50" gte="0"/>
      </iconSet>
    </cfRule>
  </conditionalFormatting>
  <conditionalFormatting sqref="G22">
    <cfRule type="iconSet" priority="314">
      <iconSet iconSet="3Arrows">
        <cfvo type="percent" val="0"/>
        <cfvo type="formula" val="$H$22"/>
        <cfvo type="formula" val="$H$22" gte="0"/>
      </iconSet>
    </cfRule>
  </conditionalFormatting>
  <conditionalFormatting sqref="G39">
    <cfRule type="iconSet" priority="313">
      <iconSet iconSet="3Arrows">
        <cfvo type="percent" val="0"/>
        <cfvo type="formula" val="$H$39"/>
        <cfvo type="formula" val="$H$39" gte="0"/>
      </iconSet>
    </cfRule>
  </conditionalFormatting>
  <conditionalFormatting sqref="G51">
    <cfRule type="iconSet" priority="312">
      <iconSet iconSet="3Arrows">
        <cfvo type="percent" val="0"/>
        <cfvo type="formula" val="$H$51"/>
        <cfvo type="formula" val="$H$51" gte="0"/>
      </iconSet>
    </cfRule>
  </conditionalFormatting>
  <conditionalFormatting sqref="G23">
    <cfRule type="iconSet" priority="311">
      <iconSet iconSet="3Arrows">
        <cfvo type="percent" val="0"/>
        <cfvo type="formula" val="$H$23"/>
        <cfvo type="formula" val="$H$23" gte="0"/>
      </iconSet>
    </cfRule>
  </conditionalFormatting>
  <conditionalFormatting sqref="G24">
    <cfRule type="iconSet" priority="310">
      <iconSet iconSet="3Arrows">
        <cfvo type="percent" val="0"/>
        <cfvo type="formula" val="$H$24"/>
        <cfvo type="formula" val="$H$24" gte="0"/>
      </iconSet>
    </cfRule>
  </conditionalFormatting>
  <conditionalFormatting sqref="G25">
    <cfRule type="iconSet" priority="309">
      <iconSet iconSet="3Arrows">
        <cfvo type="percent" val="0"/>
        <cfvo type="formula" val="$H$25"/>
        <cfvo type="formula" val="$H$25" gte="0"/>
      </iconSet>
    </cfRule>
  </conditionalFormatting>
  <conditionalFormatting sqref="G8">
    <cfRule type="iconSet" priority="308">
      <iconSet iconSet="3Arrows">
        <cfvo type="percent" val="0"/>
        <cfvo type="formula" val="$H$8"/>
        <cfvo type="formula" val="$H$8" gte="0"/>
      </iconSet>
    </cfRule>
  </conditionalFormatting>
  <conditionalFormatting sqref="G52">
    <cfRule type="iconSet" priority="307">
      <iconSet iconSet="3Arrows">
        <cfvo type="percent" val="0"/>
        <cfvo type="formula" val="$H$52"/>
        <cfvo type="formula" val="$H$52" gte="0"/>
      </iconSet>
    </cfRule>
  </conditionalFormatting>
  <conditionalFormatting sqref="G53">
    <cfRule type="iconSet" priority="306">
      <iconSet iconSet="3Arrows">
        <cfvo type="percent" val="0"/>
        <cfvo type="formula" val="$H$53"/>
        <cfvo type="formula" val="$H$53" gte="0"/>
      </iconSet>
    </cfRule>
  </conditionalFormatting>
  <conditionalFormatting sqref="G9">
    <cfRule type="iconSet" priority="305">
      <iconSet iconSet="3Arrows">
        <cfvo type="percent" val="0"/>
        <cfvo type="formula" val="$H$9"/>
        <cfvo type="formula" val="$H$9" gte="0"/>
      </iconSet>
    </cfRule>
  </conditionalFormatting>
  <conditionalFormatting sqref="G10">
    <cfRule type="iconSet" priority="304">
      <iconSet iconSet="3Arrows">
        <cfvo type="percent" val="0"/>
        <cfvo type="formula" val="$H$10"/>
        <cfvo type="formula" val="$H$10" gte="0"/>
      </iconSet>
    </cfRule>
  </conditionalFormatting>
  <conditionalFormatting sqref="G26">
    <cfRule type="iconSet" priority="303">
      <iconSet iconSet="3Arrows">
        <cfvo type="percent" val="0"/>
        <cfvo type="formula" val="$H$26"/>
        <cfvo type="formula" val="$H$26" gte="0"/>
      </iconSet>
    </cfRule>
  </conditionalFormatting>
  <conditionalFormatting sqref="G11">
    <cfRule type="iconSet" priority="302">
      <iconSet iconSet="3Arrows">
        <cfvo type="percent" val="0"/>
        <cfvo type="formula" val="$H$11"/>
        <cfvo type="formula" val="$H$11" gte="0"/>
      </iconSet>
    </cfRule>
  </conditionalFormatting>
  <conditionalFormatting sqref="G27">
    <cfRule type="iconSet" priority="301">
      <iconSet iconSet="3Arrows">
        <cfvo type="percent" val="0"/>
        <cfvo type="formula" val="$H$27"/>
        <cfvo type="formula" val="$H$27" gte="0"/>
      </iconSet>
    </cfRule>
  </conditionalFormatting>
  <conditionalFormatting sqref="G40">
    <cfRule type="iconSet" priority="300">
      <iconSet iconSet="3Arrows">
        <cfvo type="percent" val="0"/>
        <cfvo type="formula" val="$H$40"/>
        <cfvo type="formula" val="$H$40" gte="0"/>
      </iconSet>
    </cfRule>
  </conditionalFormatting>
  <conditionalFormatting sqref="G41">
    <cfRule type="iconSet" priority="299">
      <iconSet iconSet="3Arrows">
        <cfvo type="percent" val="0"/>
        <cfvo type="formula" val="$H$41"/>
        <cfvo type="formula" val="$H$41" gte="0"/>
      </iconSet>
    </cfRule>
  </conditionalFormatting>
  <conditionalFormatting sqref="G12">
    <cfRule type="iconSet" priority="298">
      <iconSet iconSet="3Arrows">
        <cfvo type="percent" val="0"/>
        <cfvo type="formula" val="$H$12"/>
        <cfvo type="formula" val="$H$12" gte="0"/>
      </iconSet>
    </cfRule>
  </conditionalFormatting>
  <conditionalFormatting sqref="G13">
    <cfRule type="iconSet" priority="297">
      <iconSet iconSet="3Arrows">
        <cfvo type="percent" val="0"/>
        <cfvo type="formula" val="$H$13"/>
        <cfvo type="formula" val="$H$13" gte="0"/>
      </iconSet>
    </cfRule>
  </conditionalFormatting>
  <conditionalFormatting sqref="G44">
    <cfRule type="iconSet" priority="296">
      <iconSet iconSet="3Arrows">
        <cfvo type="percent" val="0"/>
        <cfvo type="formula" val="$H$44"/>
        <cfvo type="formula" val="$H$44" gte="0"/>
      </iconSet>
    </cfRule>
  </conditionalFormatting>
  <conditionalFormatting sqref="G14">
    <cfRule type="iconSet" priority="295">
      <iconSet iconSet="3Arrows">
        <cfvo type="percent" val="0"/>
        <cfvo type="formula" val="$H$14"/>
        <cfvo type="formula" val="$H$14" gte="0"/>
      </iconSet>
    </cfRule>
  </conditionalFormatting>
  <conditionalFormatting sqref="G45">
    <cfRule type="iconSet" priority="294">
      <iconSet iconSet="3Arrows">
        <cfvo type="percent" val="0"/>
        <cfvo type="formula" val="$H$45"/>
        <cfvo type="formula" val="$H$45" gte="0"/>
      </iconSet>
    </cfRule>
  </conditionalFormatting>
  <conditionalFormatting sqref="G54">
    <cfRule type="iconSet" priority="293">
      <iconSet iconSet="3Arrows">
        <cfvo type="percent" val="0"/>
        <cfvo type="formula" val="$H$54"/>
        <cfvo type="formula" val="$H$54" gte="0"/>
      </iconSet>
    </cfRule>
  </conditionalFormatting>
  <conditionalFormatting sqref="G42">
    <cfRule type="iconSet" priority="292">
      <iconSet iconSet="3Arrows">
        <cfvo type="percent" val="0"/>
        <cfvo type="formula" val="$H$42"/>
        <cfvo type="formula" val="$H$42" gte="0"/>
      </iconSet>
    </cfRule>
  </conditionalFormatting>
  <conditionalFormatting sqref="G15">
    <cfRule type="iconSet" priority="291">
      <iconSet iconSet="3Arrows">
        <cfvo type="percent" val="0"/>
        <cfvo type="formula" val="$H$15"/>
        <cfvo type="formula" val="$H$15" gte="0"/>
      </iconSet>
    </cfRule>
  </conditionalFormatting>
  <conditionalFormatting sqref="G43">
    <cfRule type="iconSet" priority="290">
      <iconSet iconSet="3Arrows">
        <cfvo type="percent" val="0"/>
        <cfvo type="formula" val="$H$43"/>
        <cfvo type="formula" val="$H$43" gte="0"/>
      </iconSet>
    </cfRule>
  </conditionalFormatting>
  <conditionalFormatting sqref="G16">
    <cfRule type="iconSet" priority="289">
      <iconSet iconSet="3Arrows">
        <cfvo type="percent" val="0"/>
        <cfvo type="formula" val="$H$16"/>
        <cfvo type="formula" val="$H$16" gte="0"/>
      </iconSet>
    </cfRule>
  </conditionalFormatting>
  <conditionalFormatting sqref="G17">
    <cfRule type="iconSet" priority="288">
      <iconSet iconSet="3Arrows">
        <cfvo type="percent" val="0"/>
        <cfvo type="formula" val="$H$17"/>
        <cfvo type="formula" val="$H$17" gte="0"/>
      </iconSet>
    </cfRule>
  </conditionalFormatting>
  <conditionalFormatting sqref="G29">
    <cfRule type="iconSet" priority="287">
      <iconSet iconSet="3Arrows">
        <cfvo type="percent" val="0"/>
        <cfvo type="formula" val="$H$29"/>
        <cfvo type="formula" val="$H$29" gte="0"/>
      </iconSet>
    </cfRule>
  </conditionalFormatting>
  <conditionalFormatting sqref="G55">
    <cfRule type="iconSet" priority="286">
      <iconSet iconSet="3Arrows">
        <cfvo type="percent" val="0"/>
        <cfvo type="formula" val="$H$55"/>
        <cfvo type="formula" val="$H$55" gte="0"/>
      </iconSet>
    </cfRule>
  </conditionalFormatting>
  <conditionalFormatting sqref="G28">
    <cfRule type="iconSet" priority="285">
      <iconSet iconSet="3Arrows">
        <cfvo type="percent" val="0"/>
        <cfvo type="formula" val="$H$28"/>
        <cfvo type="formula" val="$H$28" gte="0"/>
      </iconSet>
    </cfRule>
  </conditionalFormatting>
  <conditionalFormatting sqref="G18">
    <cfRule type="iconSet" priority="284">
      <iconSet iconSet="3Arrows">
        <cfvo type="percent" val="0"/>
        <cfvo type="formula" val="$H$18"/>
        <cfvo type="formula" val="$H$18" gte="0"/>
      </iconSet>
    </cfRule>
  </conditionalFormatting>
  <conditionalFormatting sqref="G56">
    <cfRule type="iconSet" priority="283">
      <iconSet iconSet="3Arrows">
        <cfvo type="percent" val="0"/>
        <cfvo type="formula" val="$H$56"/>
        <cfvo type="formula" val="$H$56" gte="0"/>
      </iconSet>
    </cfRule>
  </conditionalFormatting>
  <conditionalFormatting sqref="G30">
    <cfRule type="iconSet" priority="282">
      <iconSet iconSet="3Arrows">
        <cfvo type="percent" val="0"/>
        <cfvo type="formula" val="$H$30"/>
        <cfvo type="formula" val="$H$30" gte="0"/>
      </iconSet>
    </cfRule>
  </conditionalFormatting>
  <conditionalFormatting sqref="G31">
    <cfRule type="iconSet" priority="281">
      <iconSet iconSet="3Arrows">
        <cfvo type="percent" val="0"/>
        <cfvo type="formula" val="$H$31"/>
        <cfvo type="formula" val="$H$31" gte="0"/>
      </iconSet>
    </cfRule>
  </conditionalFormatting>
  <conditionalFormatting sqref="G46">
    <cfRule type="iconSet" priority="280">
      <iconSet iconSet="3Arrows">
        <cfvo type="percent" val="0"/>
        <cfvo type="formula" val="$H$46"/>
        <cfvo type="formula" val="$H$46" gte="0"/>
      </iconSet>
    </cfRule>
  </conditionalFormatting>
  <conditionalFormatting sqref="G47">
    <cfRule type="iconSet" priority="279">
      <iconSet iconSet="3Arrows">
        <cfvo type="percent" val="0"/>
        <cfvo type="formula" val="$H$47"/>
        <cfvo type="formula" val="$H$47" gte="0"/>
      </iconSet>
    </cfRule>
  </conditionalFormatting>
  <conditionalFormatting sqref="G32">
    <cfRule type="iconSet" priority="278">
      <iconSet iconSet="3Arrows">
        <cfvo type="percent" val="0"/>
        <cfvo type="formula" val="$H$32"/>
        <cfvo type="formula" val="$H$32" gte="0"/>
      </iconSet>
    </cfRule>
  </conditionalFormatting>
  <conditionalFormatting sqref="G60">
    <cfRule type="iconSet" priority="277">
      <iconSet iconSet="3Arrows">
        <cfvo type="percent" val="0"/>
        <cfvo type="formula" val="$H$60"/>
        <cfvo type="formula" val="$H$60" gte="0"/>
      </iconSet>
    </cfRule>
  </conditionalFormatting>
  <conditionalFormatting sqref="G61">
    <cfRule type="iconSet" priority="276">
      <iconSet iconSet="3Arrows">
        <cfvo type="percent" val="0"/>
        <cfvo type="formula" val="$H$61"/>
        <cfvo type="formula" val="$H$61" gte="0"/>
      </iconSet>
    </cfRule>
  </conditionalFormatting>
  <conditionalFormatting sqref="G57">
    <cfRule type="iconSet" priority="275">
      <iconSet iconSet="3Arrows">
        <cfvo type="percent" val="0"/>
        <cfvo type="formula" val="$H$57"/>
        <cfvo type="formula" val="$H$57" gte="0"/>
      </iconSet>
    </cfRule>
  </conditionalFormatting>
  <conditionalFormatting sqref="G33">
    <cfRule type="iconSet" priority="274">
      <iconSet iconSet="3Arrows">
        <cfvo type="percent" val="0"/>
        <cfvo type="formula" val="$H$33"/>
        <cfvo type="formula" val="$H$33" gte="0"/>
      </iconSet>
    </cfRule>
  </conditionalFormatting>
  <conditionalFormatting sqref="G34">
    <cfRule type="iconSet" priority="273">
      <iconSet iconSet="3Arrows">
        <cfvo type="percent" val="0"/>
        <cfvo type="formula" val="$H$34"/>
        <cfvo type="formula" val="$H$34" gte="0"/>
      </iconSet>
    </cfRule>
  </conditionalFormatting>
  <conditionalFormatting sqref="G48">
    <cfRule type="iconSet" priority="272">
      <iconSet iconSet="3Arrows">
        <cfvo type="percent" val="0"/>
        <cfvo type="formula" val="$H$48"/>
        <cfvo type="formula" val="$H$48" gte="0"/>
      </iconSet>
    </cfRule>
  </conditionalFormatting>
  <conditionalFormatting sqref="G19">
    <cfRule type="iconSet" priority="271">
      <iconSet iconSet="3Arrows">
        <cfvo type="percent" val="0"/>
        <cfvo type="formula" val="$H$19"/>
        <cfvo type="formula" val="$H$19" gte="0"/>
      </iconSet>
    </cfRule>
  </conditionalFormatting>
  <conditionalFormatting sqref="G35">
    <cfRule type="iconSet" priority="270">
      <iconSet iconSet="3Arrows">
        <cfvo type="percent" val="0"/>
        <cfvo type="formula" val="$H$35"/>
        <cfvo type="formula" val="$H$35" gte="0"/>
      </iconSet>
    </cfRule>
  </conditionalFormatting>
  <conditionalFormatting sqref="G62">
    <cfRule type="iconSet" priority="269">
      <iconSet iconSet="3Arrows">
        <cfvo type="percent" val="0"/>
        <cfvo type="formula" val="$H$62"/>
        <cfvo type="formula" val="$H$62" gte="0"/>
      </iconSet>
    </cfRule>
  </conditionalFormatting>
  <conditionalFormatting sqref="G36">
    <cfRule type="iconSet" priority="268">
      <iconSet iconSet="3Arrows">
        <cfvo type="percent" val="0"/>
        <cfvo type="formula" val="$H$36"/>
        <cfvo type="formula" val="$H$36" gte="0"/>
      </iconSet>
    </cfRule>
  </conditionalFormatting>
  <conditionalFormatting sqref="G69">
    <cfRule type="iconSet" priority="267">
      <iconSet iconSet="3Arrows">
        <cfvo type="percent" val="0"/>
        <cfvo type="formula" val="$H$69"/>
        <cfvo type="formula" val="$H$69" gte="0"/>
      </iconSet>
    </cfRule>
  </conditionalFormatting>
  <conditionalFormatting sqref="G70">
    <cfRule type="iconSet" priority="266">
      <iconSet iconSet="3Arrows">
        <cfvo type="percent" val="0"/>
        <cfvo type="formula" val="$H$70"/>
        <cfvo type="formula" val="$H$70" gte="0"/>
      </iconSet>
    </cfRule>
  </conditionalFormatting>
  <conditionalFormatting sqref="G71">
    <cfRule type="iconSet" priority="265">
      <iconSet iconSet="3Arrows">
        <cfvo type="percent" val="0"/>
        <cfvo type="formula" val="$H$71"/>
        <cfvo type="formula" val="$H$71" gte="0"/>
      </iconSet>
    </cfRule>
  </conditionalFormatting>
  <conditionalFormatting sqref="G72">
    <cfRule type="iconSet" priority="264">
      <iconSet iconSet="3Arrows">
        <cfvo type="percent" val="0"/>
        <cfvo type="formula" val="$H$72"/>
        <cfvo type="formula" val="$H$72" gte="0"/>
      </iconSet>
    </cfRule>
  </conditionalFormatting>
  <conditionalFormatting sqref="G73">
    <cfRule type="iconSet" priority="263">
      <iconSet iconSet="3Arrows">
        <cfvo type="percent" val="0"/>
        <cfvo type="formula" val="$H$73"/>
        <cfvo type="formula" val="$H$73" gte="0"/>
      </iconSet>
    </cfRule>
  </conditionalFormatting>
  <conditionalFormatting sqref="T6">
    <cfRule type="iconSet" priority="260">
      <iconSet reverse="1">
        <cfvo type="percent" val="0"/>
        <cfvo type="formula" val="$U$6"/>
        <cfvo type="formula" val="$U$6" gte="0"/>
      </iconSet>
    </cfRule>
  </conditionalFormatting>
  <conditionalFormatting sqref="T37">
    <cfRule type="iconSet" priority="259">
      <iconSet reverse="1">
        <cfvo type="percent" val="0"/>
        <cfvo type="formula" val="$U$37"/>
        <cfvo type="formula" val="$U$37" gte="0"/>
      </iconSet>
    </cfRule>
  </conditionalFormatting>
  <conditionalFormatting sqref="T20">
    <cfRule type="iconSet" priority="258">
      <iconSet reverse="1">
        <cfvo type="percent" val="0"/>
        <cfvo type="formula" val="$U$20"/>
        <cfvo type="formula" val="$U$20" gte="0"/>
      </iconSet>
    </cfRule>
  </conditionalFormatting>
  <conditionalFormatting sqref="T38">
    <cfRule type="iconSet" priority="257">
      <iconSet reverse="1">
        <cfvo type="percent" val="0"/>
        <cfvo type="formula" val="$U$38"/>
        <cfvo type="formula" val="$U$38" gte="0"/>
      </iconSet>
    </cfRule>
  </conditionalFormatting>
  <conditionalFormatting sqref="T49">
    <cfRule type="iconSet" priority="256">
      <iconSet reverse="1">
        <cfvo type="percent" val="0"/>
        <cfvo type="formula" val="$U$49"/>
        <cfvo type="formula" val="$U$49" gte="0"/>
      </iconSet>
    </cfRule>
  </conditionalFormatting>
  <conditionalFormatting sqref="T58">
    <cfRule type="iconSet" priority="255">
      <iconSet reverse="1">
        <cfvo type="percent" val="0"/>
        <cfvo type="formula" val="$U$58"/>
        <cfvo type="formula" val="$U$58" gte="0"/>
      </iconSet>
    </cfRule>
  </conditionalFormatting>
  <conditionalFormatting sqref="T7">
    <cfRule type="iconSet" priority="254">
      <iconSet reverse="1">
        <cfvo type="percent" val="0"/>
        <cfvo type="formula" val="$U$7"/>
        <cfvo type="formula" val="$U$7" gte="0"/>
      </iconSet>
    </cfRule>
  </conditionalFormatting>
  <conditionalFormatting sqref="T21">
    <cfRule type="iconSet" priority="253">
      <iconSet reverse="1">
        <cfvo type="percent" val="0"/>
        <cfvo type="formula" val="$U$21"/>
        <cfvo type="formula" val="$U$21" gte="0"/>
      </iconSet>
    </cfRule>
  </conditionalFormatting>
  <conditionalFormatting sqref="T59">
    <cfRule type="iconSet" priority="252">
      <iconSet reverse="1">
        <cfvo type="percent" val="0"/>
        <cfvo type="formula" val="$U$59"/>
        <cfvo type="formula" val="$U$59" gte="0"/>
      </iconSet>
    </cfRule>
  </conditionalFormatting>
  <conditionalFormatting sqref="T50">
    <cfRule type="iconSet" priority="251">
      <iconSet reverse="1">
        <cfvo type="percent" val="0"/>
        <cfvo type="formula" val="$U$50"/>
        <cfvo type="formula" val="$U$50" gte="0"/>
      </iconSet>
    </cfRule>
  </conditionalFormatting>
  <conditionalFormatting sqref="T22">
    <cfRule type="iconSet" priority="250">
      <iconSet reverse="1">
        <cfvo type="percent" val="0"/>
        <cfvo type="formula" val="$U$22"/>
        <cfvo type="formula" val="$U$22" gte="0"/>
      </iconSet>
    </cfRule>
  </conditionalFormatting>
  <conditionalFormatting sqref="T39">
    <cfRule type="iconSet" priority="249">
      <iconSet reverse="1">
        <cfvo type="percent" val="0"/>
        <cfvo type="formula" val="$U$39"/>
        <cfvo type="formula" val="$U$39" gte="0"/>
      </iconSet>
    </cfRule>
  </conditionalFormatting>
  <conditionalFormatting sqref="T51">
    <cfRule type="iconSet" priority="248">
      <iconSet reverse="1">
        <cfvo type="percent" val="0"/>
        <cfvo type="formula" val="$U$51"/>
        <cfvo type="formula" val="$U$51" gte="0"/>
      </iconSet>
    </cfRule>
  </conditionalFormatting>
  <conditionalFormatting sqref="T23">
    <cfRule type="iconSet" priority="247">
      <iconSet reverse="1">
        <cfvo type="percent" val="0"/>
        <cfvo type="formula" val="$U$23"/>
        <cfvo type="formula" val="$U$23" gte="0"/>
      </iconSet>
    </cfRule>
  </conditionalFormatting>
  <conditionalFormatting sqref="T24">
    <cfRule type="iconSet" priority="246">
      <iconSet reverse="1">
        <cfvo type="percent" val="0"/>
        <cfvo type="formula" val="$U$24"/>
        <cfvo type="formula" val="$U$24" gte="0"/>
      </iconSet>
    </cfRule>
  </conditionalFormatting>
  <conditionalFormatting sqref="T25">
    <cfRule type="iconSet" priority="245">
      <iconSet reverse="1">
        <cfvo type="percent" val="0"/>
        <cfvo type="formula" val="$U$25"/>
        <cfvo type="formula" val="$U$25" gte="0"/>
      </iconSet>
    </cfRule>
  </conditionalFormatting>
  <conditionalFormatting sqref="T8">
    <cfRule type="iconSet" priority="244">
      <iconSet reverse="1">
        <cfvo type="percent" val="0"/>
        <cfvo type="formula" val="$U$8"/>
        <cfvo type="formula" val="$U$8" gte="0"/>
      </iconSet>
    </cfRule>
  </conditionalFormatting>
  <conditionalFormatting sqref="T52">
    <cfRule type="iconSet" priority="243">
      <iconSet reverse="1">
        <cfvo type="percent" val="0"/>
        <cfvo type="formula" val="$U$52"/>
        <cfvo type="formula" val="$U$52" gte="0"/>
      </iconSet>
    </cfRule>
  </conditionalFormatting>
  <conditionalFormatting sqref="T53">
    <cfRule type="iconSet" priority="242">
      <iconSet reverse="1">
        <cfvo type="percent" val="0"/>
        <cfvo type="formula" val="$U$53"/>
        <cfvo type="formula" val="$U$53" gte="0"/>
      </iconSet>
    </cfRule>
  </conditionalFormatting>
  <conditionalFormatting sqref="T9">
    <cfRule type="iconSet" priority="241">
      <iconSet reverse="1">
        <cfvo type="percent" val="0"/>
        <cfvo type="formula" val="$U$9"/>
        <cfvo type="formula" val="$U$9"/>
      </iconSet>
    </cfRule>
  </conditionalFormatting>
  <conditionalFormatting sqref="T10">
    <cfRule type="iconSet" priority="240">
      <iconSet reverse="1">
        <cfvo type="percent" val="0"/>
        <cfvo type="formula" val="$U$10"/>
        <cfvo type="formula" val="$U$10" gte="0"/>
      </iconSet>
    </cfRule>
  </conditionalFormatting>
  <conditionalFormatting sqref="T26">
    <cfRule type="iconSet" priority="239">
      <iconSet reverse="1">
        <cfvo type="percent" val="0"/>
        <cfvo type="formula" val="$U$26"/>
        <cfvo type="formula" val="$U$26" gte="0"/>
      </iconSet>
    </cfRule>
  </conditionalFormatting>
  <conditionalFormatting sqref="T11">
    <cfRule type="iconSet" priority="238">
      <iconSet reverse="1">
        <cfvo type="percent" val="0"/>
        <cfvo type="formula" val="$U$11"/>
        <cfvo type="formula" val="$U$11" gte="0"/>
      </iconSet>
    </cfRule>
  </conditionalFormatting>
  <conditionalFormatting sqref="T27">
    <cfRule type="iconSet" priority="237">
      <iconSet reverse="1">
        <cfvo type="percent" val="0"/>
        <cfvo type="formula" val="$U$27"/>
        <cfvo type="formula" val="$U$27" gte="0"/>
      </iconSet>
    </cfRule>
  </conditionalFormatting>
  <conditionalFormatting sqref="T40">
    <cfRule type="iconSet" priority="236">
      <iconSet reverse="1">
        <cfvo type="percent" val="0"/>
        <cfvo type="formula" val="$U$40"/>
        <cfvo type="formula" val="$U$40" gte="0"/>
      </iconSet>
    </cfRule>
  </conditionalFormatting>
  <conditionalFormatting sqref="T41">
    <cfRule type="iconSet" priority="235">
      <iconSet reverse="1">
        <cfvo type="percent" val="0"/>
        <cfvo type="formula" val="$U$41"/>
        <cfvo type="formula" val="$U$41" gte="0"/>
      </iconSet>
    </cfRule>
  </conditionalFormatting>
  <conditionalFormatting sqref="T12">
    <cfRule type="iconSet" priority="234">
      <iconSet reverse="1">
        <cfvo type="percent" val="0"/>
        <cfvo type="formula" val="$U$12"/>
        <cfvo type="formula" val="$U$12" gte="0"/>
      </iconSet>
    </cfRule>
  </conditionalFormatting>
  <conditionalFormatting sqref="T13">
    <cfRule type="iconSet" priority="233">
      <iconSet reverse="1">
        <cfvo type="percent" val="0"/>
        <cfvo type="formula" val="$U$13"/>
        <cfvo type="formula" val="$U$13" gte="0"/>
      </iconSet>
    </cfRule>
  </conditionalFormatting>
  <conditionalFormatting sqref="T44">
    <cfRule type="iconSet" priority="232">
      <iconSet reverse="1">
        <cfvo type="percent" val="0"/>
        <cfvo type="formula" val="$U$44"/>
        <cfvo type="formula" val="$U$44" gte="0"/>
      </iconSet>
    </cfRule>
  </conditionalFormatting>
  <conditionalFormatting sqref="T14">
    <cfRule type="iconSet" priority="231">
      <iconSet reverse="1">
        <cfvo type="percent" val="0"/>
        <cfvo type="formula" val="$U$14"/>
        <cfvo type="formula" val="$U$14" gte="0"/>
      </iconSet>
    </cfRule>
  </conditionalFormatting>
  <conditionalFormatting sqref="T45">
    <cfRule type="iconSet" priority="230">
      <iconSet reverse="1">
        <cfvo type="percent" val="0"/>
        <cfvo type="formula" val="$U$45"/>
        <cfvo type="formula" val="$U$45" gte="0"/>
      </iconSet>
    </cfRule>
  </conditionalFormatting>
  <conditionalFormatting sqref="T54">
    <cfRule type="iconSet" priority="229">
      <iconSet reverse="1">
        <cfvo type="percent" val="0"/>
        <cfvo type="formula" val="$U$54"/>
        <cfvo type="formula" val="$U$54" gte="0"/>
      </iconSet>
    </cfRule>
  </conditionalFormatting>
  <conditionalFormatting sqref="T42">
    <cfRule type="iconSet" priority="228">
      <iconSet reverse="1">
        <cfvo type="percent" val="0"/>
        <cfvo type="formula" val="$U$42"/>
        <cfvo type="formula" val="$U$42" gte="0"/>
      </iconSet>
    </cfRule>
  </conditionalFormatting>
  <conditionalFormatting sqref="T15">
    <cfRule type="iconSet" priority="227">
      <iconSet reverse="1">
        <cfvo type="percent" val="0"/>
        <cfvo type="formula" val="$U$15"/>
        <cfvo type="formula" val="$U$15" gte="0"/>
      </iconSet>
    </cfRule>
  </conditionalFormatting>
  <conditionalFormatting sqref="T43">
    <cfRule type="iconSet" priority="226">
      <iconSet reverse="1">
        <cfvo type="percent" val="0"/>
        <cfvo type="formula" val="$U$43"/>
        <cfvo type="formula" val="$U$43" gte="0"/>
      </iconSet>
    </cfRule>
  </conditionalFormatting>
  <conditionalFormatting sqref="T16">
    <cfRule type="iconSet" priority="225">
      <iconSet reverse="1">
        <cfvo type="percent" val="0"/>
        <cfvo type="formula" val="$U$16"/>
        <cfvo type="formula" val="$U$16" gte="0"/>
      </iconSet>
    </cfRule>
  </conditionalFormatting>
  <conditionalFormatting sqref="T17">
    <cfRule type="iconSet" priority="224">
      <iconSet reverse="1">
        <cfvo type="percent" val="0"/>
        <cfvo type="formula" val="$U$17"/>
        <cfvo type="formula" val="$U$17" gte="0"/>
      </iconSet>
    </cfRule>
  </conditionalFormatting>
  <conditionalFormatting sqref="T29">
    <cfRule type="iconSet" priority="223">
      <iconSet reverse="1">
        <cfvo type="percent" val="0"/>
        <cfvo type="formula" val="$U$29"/>
        <cfvo type="formula" val="$U$29" gte="0"/>
      </iconSet>
    </cfRule>
  </conditionalFormatting>
  <conditionalFormatting sqref="T55">
    <cfRule type="iconSet" priority="222">
      <iconSet reverse="1">
        <cfvo type="percent" val="0"/>
        <cfvo type="formula" val="$U$55"/>
        <cfvo type="formula" val="$U$55" gte="0"/>
      </iconSet>
    </cfRule>
  </conditionalFormatting>
  <conditionalFormatting sqref="T28">
    <cfRule type="iconSet" priority="221">
      <iconSet reverse="1">
        <cfvo type="percent" val="0"/>
        <cfvo type="formula" val="$U$28"/>
        <cfvo type="formula" val="$U$28" gte="0"/>
      </iconSet>
    </cfRule>
  </conditionalFormatting>
  <conditionalFormatting sqref="T18">
    <cfRule type="iconSet" priority="220">
      <iconSet reverse="1">
        <cfvo type="percent" val="0"/>
        <cfvo type="formula" val="$U$18"/>
        <cfvo type="formula" val="$U$18" gte="0"/>
      </iconSet>
    </cfRule>
  </conditionalFormatting>
  <conditionalFormatting sqref="T56">
    <cfRule type="iconSet" priority="219">
      <iconSet reverse="1">
        <cfvo type="percent" val="0"/>
        <cfvo type="formula" val="$U$56"/>
        <cfvo type="formula" val="$U$56" gte="0"/>
      </iconSet>
    </cfRule>
  </conditionalFormatting>
  <conditionalFormatting sqref="T30">
    <cfRule type="iconSet" priority="218">
      <iconSet reverse="1">
        <cfvo type="percent" val="0"/>
        <cfvo type="formula" val="$U$30"/>
        <cfvo type="formula" val="$U$30" gte="0"/>
      </iconSet>
    </cfRule>
  </conditionalFormatting>
  <conditionalFormatting sqref="T31">
    <cfRule type="iconSet" priority="217">
      <iconSet reverse="1">
        <cfvo type="percent" val="0"/>
        <cfvo type="formula" val="$U$31"/>
        <cfvo type="formula" val="$U$31" gte="0"/>
      </iconSet>
    </cfRule>
  </conditionalFormatting>
  <conditionalFormatting sqref="T46">
    <cfRule type="iconSet" priority="216">
      <iconSet reverse="1">
        <cfvo type="percent" val="0"/>
        <cfvo type="formula" val="$U$46"/>
        <cfvo type="formula" val="$U$46" gte="0"/>
      </iconSet>
    </cfRule>
  </conditionalFormatting>
  <conditionalFormatting sqref="T47">
    <cfRule type="iconSet" priority="215">
      <iconSet reverse="1">
        <cfvo type="percent" val="0"/>
        <cfvo type="formula" val="$U$47"/>
        <cfvo type="formula" val="$U$47" gte="0"/>
      </iconSet>
    </cfRule>
  </conditionalFormatting>
  <conditionalFormatting sqref="T32">
    <cfRule type="iconSet" priority="214">
      <iconSet reverse="1">
        <cfvo type="percent" val="0"/>
        <cfvo type="formula" val="$U$32"/>
        <cfvo type="formula" val="$U$32" gte="0"/>
      </iconSet>
    </cfRule>
  </conditionalFormatting>
  <conditionalFormatting sqref="T60">
    <cfRule type="iconSet" priority="213">
      <iconSet reverse="1">
        <cfvo type="percent" val="0"/>
        <cfvo type="formula" val="$U$60"/>
        <cfvo type="formula" val="$U$60" gte="0"/>
      </iconSet>
    </cfRule>
  </conditionalFormatting>
  <conditionalFormatting sqref="T61">
    <cfRule type="iconSet" priority="212">
      <iconSet reverse="1">
        <cfvo type="percent" val="0"/>
        <cfvo type="formula" val="$U$61"/>
        <cfvo type="formula" val="$U$61" gte="0"/>
      </iconSet>
    </cfRule>
  </conditionalFormatting>
  <conditionalFormatting sqref="T57">
    <cfRule type="iconSet" priority="211">
      <iconSet reverse="1">
        <cfvo type="percent" val="0"/>
        <cfvo type="formula" val="$U$57"/>
        <cfvo type="formula" val="$U$57" gte="0"/>
      </iconSet>
    </cfRule>
  </conditionalFormatting>
  <conditionalFormatting sqref="T33">
    <cfRule type="iconSet" priority="210">
      <iconSet reverse="1">
        <cfvo type="percent" val="0"/>
        <cfvo type="formula" val="$U$33"/>
        <cfvo type="formula" val="$U$33" gte="0"/>
      </iconSet>
    </cfRule>
  </conditionalFormatting>
  <conditionalFormatting sqref="T34">
    <cfRule type="iconSet" priority="209">
      <iconSet reverse="1">
        <cfvo type="percent" val="0"/>
        <cfvo type="formula" val="$U$34"/>
        <cfvo type="formula" val="$U$34" gte="0"/>
      </iconSet>
    </cfRule>
  </conditionalFormatting>
  <conditionalFormatting sqref="T48">
    <cfRule type="iconSet" priority="208">
      <iconSet reverse="1">
        <cfvo type="percent" val="0"/>
        <cfvo type="formula" val="$U$48"/>
        <cfvo type="formula" val="$U$48" gte="0"/>
      </iconSet>
    </cfRule>
  </conditionalFormatting>
  <conditionalFormatting sqref="T19">
    <cfRule type="iconSet" priority="207">
      <iconSet reverse="1">
        <cfvo type="percent" val="0"/>
        <cfvo type="formula" val="$U$19"/>
        <cfvo type="formula" val="$U$19" gte="0"/>
      </iconSet>
    </cfRule>
  </conditionalFormatting>
  <conditionalFormatting sqref="T35">
    <cfRule type="iconSet" priority="206">
      <iconSet reverse="1">
        <cfvo type="percent" val="0"/>
        <cfvo type="formula" val="$U$35"/>
        <cfvo type="formula" val="$U$35" gte="0"/>
      </iconSet>
    </cfRule>
  </conditionalFormatting>
  <conditionalFormatting sqref="T62">
    <cfRule type="iconSet" priority="205">
      <iconSet reverse="1">
        <cfvo type="percent" val="0"/>
        <cfvo type="formula" val="$U$62"/>
        <cfvo type="formula" val="$U$62" gte="0"/>
      </iconSet>
    </cfRule>
  </conditionalFormatting>
  <conditionalFormatting sqref="T36">
    <cfRule type="iconSet" priority="204">
      <iconSet reverse="1">
        <cfvo type="percent" val="0"/>
        <cfvo type="formula" val="$U$36"/>
        <cfvo type="formula" val="$U$36" gte="0"/>
      </iconSet>
    </cfRule>
  </conditionalFormatting>
  <conditionalFormatting sqref="T69">
    <cfRule type="iconSet" priority="203">
      <iconSet reverse="1">
        <cfvo type="percent" val="0"/>
        <cfvo type="formula" val="$U$69"/>
        <cfvo type="formula" val="$U$69" gte="0"/>
      </iconSet>
    </cfRule>
  </conditionalFormatting>
  <conditionalFormatting sqref="T70">
    <cfRule type="iconSet" priority="202">
      <iconSet reverse="1">
        <cfvo type="percent" val="0"/>
        <cfvo type="formula" val="$U$70"/>
        <cfvo type="formula" val="$U$70" gte="0"/>
      </iconSet>
    </cfRule>
  </conditionalFormatting>
  <conditionalFormatting sqref="T71">
    <cfRule type="iconSet" priority="201">
      <iconSet reverse="1">
        <cfvo type="percent" val="0"/>
        <cfvo type="formula" val="$U$71"/>
        <cfvo type="formula" val="$U$71" gte="0"/>
      </iconSet>
    </cfRule>
  </conditionalFormatting>
  <conditionalFormatting sqref="T72">
    <cfRule type="iconSet" priority="200">
      <iconSet reverse="1">
        <cfvo type="percent" val="0"/>
        <cfvo type="formula" val="$U$72"/>
        <cfvo type="formula" val="$U$72" gte="0"/>
      </iconSet>
    </cfRule>
  </conditionalFormatting>
  <conditionalFormatting sqref="T73">
    <cfRule type="iconSet" priority="199">
      <iconSet reverse="1">
        <cfvo type="percent" val="0"/>
        <cfvo type="formula" val="$U$73"/>
        <cfvo type="formula" val="$U$73" gte="0"/>
      </iconSet>
    </cfRule>
  </conditionalFormatting>
  <conditionalFormatting sqref="AN43">
    <cfRule type="iconSet" priority="198">
      <iconSet iconSet="3Arrows">
        <cfvo type="percent" val="0"/>
        <cfvo type="formula" val="$AP$43"/>
        <cfvo type="formula" val="$AP$43" gte="0"/>
      </iconSet>
    </cfRule>
  </conditionalFormatting>
  <conditionalFormatting sqref="AQ43">
    <cfRule type="iconSet" priority="197">
      <iconSet iconSet="3Arrows">
        <cfvo type="percent" val="0"/>
        <cfvo type="formula" val="$AS$43"/>
        <cfvo type="formula" val="$AS$43" gte="0"/>
      </iconSet>
    </cfRule>
  </conditionalFormatting>
  <conditionalFormatting sqref="AT43">
    <cfRule type="iconSet" priority="196">
      <iconSet iconSet="3Arrows">
        <cfvo type="percent" val="0"/>
        <cfvo type="formula" val="$AV$43"/>
        <cfvo type="formula" val="$AV$43" gte="0"/>
      </iconSet>
    </cfRule>
  </conditionalFormatting>
  <conditionalFormatting sqref="AW43">
    <cfRule type="iconSet" priority="195">
      <iconSet iconSet="3Arrows">
        <cfvo type="percent" val="0"/>
        <cfvo type="formula" val="$AY$43"/>
        <cfvo type="formula" val="$AY$43" gte="0"/>
      </iconSet>
    </cfRule>
  </conditionalFormatting>
  <conditionalFormatting sqref="AZ43">
    <cfRule type="iconSet" priority="194">
      <iconSet iconSet="3Arrows">
        <cfvo type="percent" val="0"/>
        <cfvo type="formula" val="$BB$43"/>
        <cfvo type="formula" val="$BB$43" gte="0"/>
      </iconSet>
    </cfRule>
  </conditionalFormatting>
  <conditionalFormatting sqref="BC43">
    <cfRule type="iconSet" priority="193">
      <iconSet iconSet="3Arrows">
        <cfvo type="percent" val="0"/>
        <cfvo type="formula" val="$BE$43"/>
        <cfvo type="formula" val="$BE$43" gte="0"/>
      </iconSet>
    </cfRule>
  </conditionalFormatting>
  <conditionalFormatting sqref="BF43">
    <cfRule type="iconSet" priority="192">
      <iconSet iconSet="3Arrows">
        <cfvo type="percent" val="0"/>
        <cfvo type="formula" val="$BH$43"/>
        <cfvo type="formula" val="$BH$43" gte="0"/>
      </iconSet>
    </cfRule>
  </conditionalFormatting>
  <conditionalFormatting sqref="BI43">
    <cfRule type="iconSet" priority="191">
      <iconSet iconSet="3Arrows">
        <cfvo type="percent" val="0"/>
        <cfvo type="formula" val="$BK$43"/>
        <cfvo type="formula" val="$BK$43" gte="0"/>
      </iconSet>
    </cfRule>
  </conditionalFormatting>
  <conditionalFormatting sqref="AN50">
    <cfRule type="iconSet" priority="190">
      <iconSet iconSet="3Arrows">
        <cfvo type="percent" val="0"/>
        <cfvo type="formula" val="$AP$50"/>
        <cfvo type="formula" val="$AP$50" gte="0"/>
      </iconSet>
    </cfRule>
  </conditionalFormatting>
  <conditionalFormatting sqref="AQ50">
    <cfRule type="iconSet" priority="189">
      <iconSet iconSet="3Arrows">
        <cfvo type="percent" val="0"/>
        <cfvo type="formula" val="$AS$50"/>
        <cfvo type="formula" val="$AS$50" gte="0"/>
      </iconSet>
    </cfRule>
  </conditionalFormatting>
  <conditionalFormatting sqref="AT50">
    <cfRule type="iconSet" priority="188">
      <iconSet iconSet="3Arrows">
        <cfvo type="percent" val="0"/>
        <cfvo type="formula" val="$AV$50"/>
        <cfvo type="formula" val="$AV$50" gte="0"/>
      </iconSet>
    </cfRule>
  </conditionalFormatting>
  <conditionalFormatting sqref="AW50">
    <cfRule type="iconSet" priority="187">
      <iconSet iconSet="3Arrows">
        <cfvo type="percent" val="0"/>
        <cfvo type="formula" val="$AY$50"/>
        <cfvo type="formula" val="$AY$50" gte="0"/>
      </iconSet>
    </cfRule>
  </conditionalFormatting>
  <conditionalFormatting sqref="AZ50">
    <cfRule type="iconSet" priority="186">
      <iconSet iconSet="3Arrows">
        <cfvo type="percent" val="0"/>
        <cfvo type="formula" val="$BB$50"/>
        <cfvo type="formula" val="$BB$50" gte="0"/>
      </iconSet>
    </cfRule>
  </conditionalFormatting>
  <conditionalFormatting sqref="BC50">
    <cfRule type="iconSet" priority="185">
      <iconSet iconSet="3Arrows">
        <cfvo type="percent" val="0"/>
        <cfvo type="formula" val="$BE$50"/>
        <cfvo type="formula" val="$BE$50" gte="0"/>
      </iconSet>
    </cfRule>
  </conditionalFormatting>
  <conditionalFormatting sqref="BF50">
    <cfRule type="iconSet" priority="184">
      <iconSet iconSet="3Arrows">
        <cfvo type="percent" val="0"/>
        <cfvo type="formula" val="$BH$50"/>
        <cfvo type="formula" val="$BH$50" gte="0"/>
      </iconSet>
    </cfRule>
  </conditionalFormatting>
  <conditionalFormatting sqref="BI50">
    <cfRule type="iconSet" priority="183">
      <iconSet iconSet="3Arrows">
        <cfvo type="percent" val="0"/>
        <cfvo type="formula" val="$BK$50"/>
        <cfvo type="formula" val="$BK$50" gte="0"/>
      </iconSet>
    </cfRule>
  </conditionalFormatting>
  <conditionalFormatting sqref="CI20">
    <cfRule type="iconSet" priority="1688">
      <iconSet iconSet="3Arrows">
        <cfvo type="percent" val="0"/>
        <cfvo type="formula" val="$CJ$38"/>
        <cfvo type="formula" val="$CJ$38" gte="0"/>
      </iconSet>
    </cfRule>
  </conditionalFormatting>
  <conditionalFormatting sqref="BU43">
    <cfRule type="iconSet" priority="1713">
      <iconSet iconSet="3Arrows">
        <cfvo type="percent" val="0"/>
        <cfvo type="formula" val="$BV$15"/>
        <cfvo type="formula" val="$BV$15" gte="0"/>
      </iconSet>
    </cfRule>
  </conditionalFormatting>
  <conditionalFormatting sqref="Z6">
    <cfRule type="iconSet" priority="182">
      <iconSet iconSet="3Arrows">
        <cfvo type="percent" val="0"/>
        <cfvo type="formula" val="$AA$6"/>
        <cfvo type="formula" val="$AA$6" gte="0"/>
      </iconSet>
    </cfRule>
  </conditionalFormatting>
  <conditionalFormatting sqref="Z7">
    <cfRule type="iconSet" priority="181">
      <iconSet iconSet="3Arrows">
        <cfvo type="percent" val="0"/>
        <cfvo type="formula" val="$AA$7"/>
        <cfvo type="formula" val="$AA$7" gte="0"/>
      </iconSet>
    </cfRule>
  </conditionalFormatting>
  <conditionalFormatting sqref="Z8">
    <cfRule type="iconSet" priority="180">
      <iconSet iconSet="3Arrows">
        <cfvo type="percent" val="0"/>
        <cfvo type="formula" val="$AA$8"/>
        <cfvo type="formula" val="$AA$8" gte="0"/>
      </iconSet>
    </cfRule>
  </conditionalFormatting>
  <conditionalFormatting sqref="Z9">
    <cfRule type="iconSet" priority="179">
      <iconSet iconSet="3Arrows">
        <cfvo type="percent" val="0"/>
        <cfvo type="formula" val="$AA$9"/>
        <cfvo type="formula" val="$AA$9" gte="0"/>
      </iconSet>
    </cfRule>
  </conditionalFormatting>
  <conditionalFormatting sqref="Z10">
    <cfRule type="iconSet" priority="178">
      <iconSet iconSet="3Arrows">
        <cfvo type="percent" val="0"/>
        <cfvo type="formula" val="$AA$10"/>
        <cfvo type="formula" val="$AA$10" gte="0"/>
      </iconSet>
    </cfRule>
  </conditionalFormatting>
  <conditionalFormatting sqref="Z11">
    <cfRule type="iconSet" priority="177">
      <iconSet iconSet="3Arrows">
        <cfvo type="percent" val="0"/>
        <cfvo type="formula" val="$AA$11"/>
        <cfvo type="formula" val="$AA$11" gte="0"/>
      </iconSet>
    </cfRule>
  </conditionalFormatting>
  <conditionalFormatting sqref="Z12">
    <cfRule type="iconSet" priority="176">
      <iconSet iconSet="3Arrows">
        <cfvo type="percent" val="0"/>
        <cfvo type="formula" val="$AA$12"/>
        <cfvo type="formula" val="$AA$12" gte="0"/>
      </iconSet>
    </cfRule>
  </conditionalFormatting>
  <conditionalFormatting sqref="Z13">
    <cfRule type="iconSet" priority="175">
      <iconSet iconSet="3Arrows">
        <cfvo type="percent" val="0"/>
        <cfvo type="formula" val="$AA$13"/>
        <cfvo type="formula" val="$AA$13" gte="0"/>
      </iconSet>
    </cfRule>
  </conditionalFormatting>
  <conditionalFormatting sqref="Z14">
    <cfRule type="iconSet" priority="174">
      <iconSet iconSet="3Arrows">
        <cfvo type="percent" val="0"/>
        <cfvo type="formula" val="$AA$14"/>
        <cfvo type="formula" val="$AA$14" gte="0"/>
      </iconSet>
    </cfRule>
  </conditionalFormatting>
  <conditionalFormatting sqref="Z15">
    <cfRule type="iconSet" priority="173">
      <iconSet iconSet="3Arrows">
        <cfvo type="percent" val="0"/>
        <cfvo type="formula" val="$AA$15"/>
        <cfvo type="formula" val="$AA$15" gte="0"/>
      </iconSet>
    </cfRule>
  </conditionalFormatting>
  <conditionalFormatting sqref="Z16">
    <cfRule type="iconSet" priority="172">
      <iconSet iconSet="3Arrows">
        <cfvo type="percent" val="0"/>
        <cfvo type="formula" val="$AA$16"/>
        <cfvo type="formula" val="$AA$16" gte="0"/>
      </iconSet>
    </cfRule>
  </conditionalFormatting>
  <conditionalFormatting sqref="Z17">
    <cfRule type="iconSet" priority="171">
      <iconSet iconSet="3Arrows">
        <cfvo type="percent" val="0"/>
        <cfvo type="formula" val="$AA$17"/>
        <cfvo type="formula" val="$AA$17" gte="0"/>
      </iconSet>
    </cfRule>
  </conditionalFormatting>
  <conditionalFormatting sqref="Z18">
    <cfRule type="iconSet" priority="170">
      <iconSet iconSet="3Arrows">
        <cfvo type="percent" val="0"/>
        <cfvo type="formula" val="$AA$18"/>
        <cfvo type="formula" val="$AA$18" gte="0"/>
      </iconSet>
    </cfRule>
  </conditionalFormatting>
  <conditionalFormatting sqref="Z19">
    <cfRule type="iconSet" priority="169">
      <iconSet iconSet="3Arrows">
        <cfvo type="percent" val="0"/>
        <cfvo type="formula" val="$AA$19"/>
        <cfvo type="formula" val="$AA$19" gte="0"/>
      </iconSet>
    </cfRule>
  </conditionalFormatting>
  <conditionalFormatting sqref="Z62">
    <cfRule type="iconSet" priority="168">
      <iconSet iconSet="3Arrows">
        <cfvo type="percent" val="0"/>
        <cfvo type="formula" val="$AA$62"/>
        <cfvo type="formula" val="$AA$62" gte="0"/>
      </iconSet>
    </cfRule>
  </conditionalFormatting>
  <conditionalFormatting sqref="Z61">
    <cfRule type="iconSet" priority="167">
      <iconSet iconSet="3Arrows">
        <cfvo type="percent" val="0"/>
        <cfvo type="formula" val="$AA$61"/>
        <cfvo type="formula" val="$AA$61" gte="0"/>
      </iconSet>
    </cfRule>
  </conditionalFormatting>
  <conditionalFormatting sqref="Z60">
    <cfRule type="iconSet" priority="166">
      <iconSet iconSet="3Arrows">
        <cfvo type="percent" val="0"/>
        <cfvo type="formula" val="$AA$60"/>
        <cfvo type="formula" val="$AA$60" gte="0"/>
      </iconSet>
    </cfRule>
  </conditionalFormatting>
  <conditionalFormatting sqref="Z59">
    <cfRule type="iconSet" priority="165">
      <iconSet iconSet="3Arrows">
        <cfvo type="percent" val="0"/>
        <cfvo type="formula" val="$AA$59"/>
        <cfvo type="formula" val="$AA$59" gte="0"/>
      </iconSet>
    </cfRule>
  </conditionalFormatting>
  <conditionalFormatting sqref="Z58">
    <cfRule type="iconSet" priority="164">
      <iconSet iconSet="3Arrows">
        <cfvo type="percent" val="0"/>
        <cfvo type="formula" val="$AA$58"/>
        <cfvo type="formula" val="$AA$58" gte="0"/>
      </iconSet>
    </cfRule>
  </conditionalFormatting>
  <conditionalFormatting sqref="Z57">
    <cfRule type="iconSet" priority="163">
      <iconSet iconSet="3Arrows">
        <cfvo type="percent" val="0"/>
        <cfvo type="formula" val="$AA$57"/>
        <cfvo type="formula" val="$AA$57" gte="0"/>
      </iconSet>
    </cfRule>
  </conditionalFormatting>
  <conditionalFormatting sqref="Z56">
    <cfRule type="iconSet" priority="162">
      <iconSet iconSet="3Arrows">
        <cfvo type="percent" val="0"/>
        <cfvo type="formula" val="$AA$56"/>
        <cfvo type="formula" val="$AA$56" gte="0"/>
      </iconSet>
    </cfRule>
  </conditionalFormatting>
  <conditionalFormatting sqref="Z55">
    <cfRule type="iconSet" priority="161">
      <iconSet iconSet="3Arrows">
        <cfvo type="percent" val="0"/>
        <cfvo type="formula" val="$AA$55"/>
        <cfvo type="formula" val="$AA$55" gte="0"/>
      </iconSet>
    </cfRule>
  </conditionalFormatting>
  <conditionalFormatting sqref="Z54">
    <cfRule type="iconSet" priority="160">
      <iconSet iconSet="3Arrows">
        <cfvo type="percent" val="0"/>
        <cfvo type="formula" val="$AA$54"/>
        <cfvo type="formula" val="$AA$54" gte="0"/>
      </iconSet>
    </cfRule>
  </conditionalFormatting>
  <conditionalFormatting sqref="Z53">
    <cfRule type="iconSet" priority="159">
      <iconSet iconSet="3Arrows">
        <cfvo type="percent" val="0"/>
        <cfvo type="formula" val="$AA$53"/>
        <cfvo type="formula" val="$AA$53" gte="0"/>
      </iconSet>
    </cfRule>
  </conditionalFormatting>
  <conditionalFormatting sqref="Z52">
    <cfRule type="iconSet" priority="158">
      <iconSet iconSet="3Arrows">
        <cfvo type="percent" val="0"/>
        <cfvo type="formula" val="$AA$52"/>
        <cfvo type="formula" val="$AA$52" gte="0"/>
      </iconSet>
    </cfRule>
  </conditionalFormatting>
  <conditionalFormatting sqref="Z51">
    <cfRule type="iconSet" priority="157">
      <iconSet iconSet="3Arrows">
        <cfvo type="percent" val="0"/>
        <cfvo type="formula" val="$AA$51"/>
        <cfvo type="formula" val="$AA$51" gte="0"/>
      </iconSet>
    </cfRule>
  </conditionalFormatting>
  <conditionalFormatting sqref="Z50">
    <cfRule type="iconSet" priority="156">
      <iconSet iconSet="3Arrows">
        <cfvo type="percent" val="0"/>
        <cfvo type="formula" val="$AA$50"/>
        <cfvo type="formula" val="$AA$50" gte="0"/>
      </iconSet>
    </cfRule>
  </conditionalFormatting>
  <conditionalFormatting sqref="Z49">
    <cfRule type="iconSet" priority="155">
      <iconSet iconSet="3Arrows">
        <cfvo type="percent" val="0"/>
        <cfvo type="formula" val="$AA$49"/>
        <cfvo type="formula" val="$AA$49" gte="0"/>
      </iconSet>
    </cfRule>
  </conditionalFormatting>
  <conditionalFormatting sqref="Z48">
    <cfRule type="iconSet" priority="154">
      <iconSet iconSet="3Arrows">
        <cfvo type="percent" val="0"/>
        <cfvo type="formula" val="$AA$48"/>
        <cfvo type="formula" val="$AA$48" gte="0"/>
      </iconSet>
    </cfRule>
  </conditionalFormatting>
  <conditionalFormatting sqref="Z47">
    <cfRule type="iconSet" priority="153">
      <iconSet iconSet="3Arrows">
        <cfvo type="percent" val="0"/>
        <cfvo type="formula" val="$AA$47"/>
        <cfvo type="formula" val="$AA$47" gte="0"/>
      </iconSet>
    </cfRule>
  </conditionalFormatting>
  <conditionalFormatting sqref="Z46">
    <cfRule type="iconSet" priority="152">
      <iconSet iconSet="3Arrows">
        <cfvo type="percent" val="0"/>
        <cfvo type="formula" val="$AA$46"/>
        <cfvo type="formula" val="$AA$46" gte="0"/>
      </iconSet>
    </cfRule>
  </conditionalFormatting>
  <conditionalFormatting sqref="Z45">
    <cfRule type="iconSet" priority="151">
      <iconSet iconSet="3Arrows">
        <cfvo type="percent" val="0"/>
        <cfvo type="formula" val="$AA$45"/>
        <cfvo type="formula" val="$AA$45" gte="0"/>
      </iconSet>
    </cfRule>
  </conditionalFormatting>
  <conditionalFormatting sqref="Z44">
    <cfRule type="iconSet" priority="150">
      <iconSet iconSet="3Arrows">
        <cfvo type="percent" val="0"/>
        <cfvo type="formula" val="$AA$44"/>
        <cfvo type="formula" val="$AA$44" gte="0"/>
      </iconSet>
    </cfRule>
  </conditionalFormatting>
  <conditionalFormatting sqref="Z43">
    <cfRule type="iconSet" priority="149">
      <iconSet iconSet="3Arrows">
        <cfvo type="percent" val="0"/>
        <cfvo type="formula" val="$AA$43"/>
        <cfvo type="formula" val="$AA$43" gte="0"/>
      </iconSet>
    </cfRule>
  </conditionalFormatting>
  <conditionalFormatting sqref="Z20">
    <cfRule type="iconSet" priority="148">
      <iconSet iconSet="3Arrows">
        <cfvo type="percent" val="0"/>
        <cfvo type="formula" val="$AA$20"/>
        <cfvo type="formula" val="$AA$20" gte="0"/>
      </iconSet>
    </cfRule>
  </conditionalFormatting>
  <conditionalFormatting sqref="Z21">
    <cfRule type="iconSet" priority="147">
      <iconSet iconSet="3Arrows">
        <cfvo type="percent" val="0"/>
        <cfvo type="formula" val="$AA$21"/>
        <cfvo type="formula" val="$AA$21" gte="0"/>
      </iconSet>
    </cfRule>
  </conditionalFormatting>
  <conditionalFormatting sqref="Z22">
    <cfRule type="iconSet" priority="146">
      <iconSet iconSet="3Arrows">
        <cfvo type="percent" val="0"/>
        <cfvo type="formula" val="$AA$22"/>
        <cfvo type="formula" val="$AA$22" gte="0"/>
      </iconSet>
    </cfRule>
  </conditionalFormatting>
  <conditionalFormatting sqref="Z23">
    <cfRule type="iconSet" priority="145">
      <iconSet iconSet="3Arrows">
        <cfvo type="percent" val="0"/>
        <cfvo type="formula" val="$AA$23"/>
        <cfvo type="formula" val="$AA$23" gte="0"/>
      </iconSet>
    </cfRule>
  </conditionalFormatting>
  <conditionalFormatting sqref="Z24">
    <cfRule type="iconSet" priority="144">
      <iconSet iconSet="3Arrows">
        <cfvo type="percent" val="0"/>
        <cfvo type="formula" val="$AA$24"/>
        <cfvo type="formula" val="$AA$24" gte="0"/>
      </iconSet>
    </cfRule>
  </conditionalFormatting>
  <conditionalFormatting sqref="Z25">
    <cfRule type="iconSet" priority="143">
      <iconSet iconSet="3Arrows">
        <cfvo type="percent" val="0"/>
        <cfvo type="formula" val="$AA$25"/>
        <cfvo type="formula" val="$AA$25" gte="0"/>
      </iconSet>
    </cfRule>
  </conditionalFormatting>
  <conditionalFormatting sqref="Z26">
    <cfRule type="iconSet" priority="142">
      <iconSet iconSet="3Arrows">
        <cfvo type="percent" val="0"/>
        <cfvo type="formula" val="$AA$26"/>
        <cfvo type="formula" val="$AA$26" gte="0"/>
      </iconSet>
    </cfRule>
  </conditionalFormatting>
  <conditionalFormatting sqref="Z27">
    <cfRule type="iconSet" priority="141">
      <iconSet iconSet="3Arrows">
        <cfvo type="percent" val="0"/>
        <cfvo type="formula" val="$AA$27"/>
        <cfvo type="formula" val="$AA$27" gte="0"/>
      </iconSet>
    </cfRule>
  </conditionalFormatting>
  <conditionalFormatting sqref="Z28">
    <cfRule type="iconSet" priority="140">
      <iconSet iconSet="3Arrows">
        <cfvo type="percent" val="0"/>
        <cfvo type="formula" val="$AA$28"/>
        <cfvo type="formula" val="$AA$28" gte="0"/>
      </iconSet>
    </cfRule>
  </conditionalFormatting>
  <conditionalFormatting sqref="Z29">
    <cfRule type="iconSet" priority="139">
      <iconSet iconSet="3Arrows">
        <cfvo type="percent" val="0"/>
        <cfvo type="formula" val="$AA$29"/>
        <cfvo type="formula" val="$AA$29" gte="0"/>
      </iconSet>
    </cfRule>
  </conditionalFormatting>
  <conditionalFormatting sqref="Z42">
    <cfRule type="iconSet" priority="138">
      <iconSet iconSet="3Arrows">
        <cfvo type="percent" val="0"/>
        <cfvo type="formula" val="$AA$42"/>
        <cfvo type="formula" val="$AA$42" gte="0"/>
      </iconSet>
    </cfRule>
  </conditionalFormatting>
  <conditionalFormatting sqref="Z41">
    <cfRule type="iconSet" priority="137">
      <iconSet iconSet="3Arrows">
        <cfvo type="percent" val="0"/>
        <cfvo type="formula" val="$AA$41"/>
        <cfvo type="formula" val="$AA$41" gte="0"/>
      </iconSet>
    </cfRule>
  </conditionalFormatting>
  <conditionalFormatting sqref="Z40">
    <cfRule type="iconSet" priority="136">
      <iconSet iconSet="3Arrows">
        <cfvo type="percent" val="0"/>
        <cfvo type="formula" val="$AA$40"/>
        <cfvo type="formula" val="$AA$40" gte="0"/>
      </iconSet>
    </cfRule>
  </conditionalFormatting>
  <conditionalFormatting sqref="Z39">
    <cfRule type="iconSet" priority="135">
      <iconSet iconSet="3Arrows">
        <cfvo type="percent" val="0"/>
        <cfvo type="formula" val="$AA$39"/>
        <cfvo type="formula" val="$AA$39" gte="0"/>
      </iconSet>
    </cfRule>
  </conditionalFormatting>
  <conditionalFormatting sqref="Z38">
    <cfRule type="iconSet" priority="134">
      <iconSet iconSet="3Arrows">
        <cfvo type="percent" val="0"/>
        <cfvo type="formula" val="$AA$38"/>
        <cfvo type="formula" val="$AA$38" gte="0"/>
      </iconSet>
    </cfRule>
  </conditionalFormatting>
  <conditionalFormatting sqref="Z37">
    <cfRule type="iconSet" priority="133">
      <iconSet iconSet="3Arrows">
        <cfvo type="percent" val="0"/>
        <cfvo type="formula" val="$AA$37"/>
        <cfvo type="formula" val="$AA$37" gte="0"/>
      </iconSet>
    </cfRule>
  </conditionalFormatting>
  <conditionalFormatting sqref="Z36">
    <cfRule type="iconSet" priority="132">
      <iconSet iconSet="3Arrows">
        <cfvo type="percent" val="0"/>
        <cfvo type="formula" val="$AA$36"/>
        <cfvo type="formula" val="$AA$36" gte="0"/>
      </iconSet>
    </cfRule>
  </conditionalFormatting>
  <conditionalFormatting sqref="Z35">
    <cfRule type="iconSet" priority="131">
      <iconSet iconSet="3Arrows">
        <cfvo type="percent" val="0"/>
        <cfvo type="formula" val="$AA$35"/>
        <cfvo type="formula" val="$AA$35" gte="0"/>
      </iconSet>
    </cfRule>
  </conditionalFormatting>
  <conditionalFormatting sqref="Z34">
    <cfRule type="iconSet" priority="130">
      <iconSet iconSet="3Arrows">
        <cfvo type="percent" val="0"/>
        <cfvo type="formula" val="$AA$34"/>
        <cfvo type="formula" val="$AA$34" gte="0"/>
      </iconSet>
    </cfRule>
  </conditionalFormatting>
  <conditionalFormatting sqref="Z33">
    <cfRule type="iconSet" priority="129">
      <iconSet iconSet="3Arrows">
        <cfvo type="percent" val="0"/>
        <cfvo type="formula" val="$AA$33"/>
        <cfvo type="formula" val="$AA$33" gte="0"/>
      </iconSet>
    </cfRule>
  </conditionalFormatting>
  <conditionalFormatting sqref="Z32">
    <cfRule type="iconSet" priority="128">
      <iconSet iconSet="3Arrows">
        <cfvo type="percent" val="0"/>
        <cfvo type="formula" val="$AA$32"/>
        <cfvo type="formula" val="$AA$32" gte="0"/>
      </iconSet>
    </cfRule>
  </conditionalFormatting>
  <conditionalFormatting sqref="Z31">
    <cfRule type="iconSet" priority="127">
      <iconSet iconSet="3Arrows">
        <cfvo type="percent" val="0"/>
        <cfvo type="formula" val="$AA$31"/>
        <cfvo type="formula" val="$AA$31" gte="0"/>
      </iconSet>
    </cfRule>
  </conditionalFormatting>
  <conditionalFormatting sqref="Z30">
    <cfRule type="iconSet" priority="126">
      <iconSet iconSet="3Arrows">
        <cfvo type="percent" val="0"/>
        <cfvo type="formula" val="$AA$30"/>
        <cfvo type="formula" val="$AA$30" gte="0"/>
      </iconSet>
    </cfRule>
  </conditionalFormatting>
  <conditionalFormatting sqref="BL69">
    <cfRule type="iconSet" priority="125">
      <iconSet iconSet="3Arrows">
        <cfvo type="percent" val="0"/>
        <cfvo type="formula" val="$BM$69"/>
        <cfvo type="formula" val="$BM$69" gte="0"/>
      </iconSet>
    </cfRule>
  </conditionalFormatting>
  <conditionalFormatting sqref="BL70">
    <cfRule type="iconSet" priority="124">
      <iconSet iconSet="3Arrows">
        <cfvo type="percent" val="0"/>
        <cfvo type="formula" val="$BM$70"/>
        <cfvo type="formula" val="$BM$70" gte="0"/>
      </iconSet>
    </cfRule>
  </conditionalFormatting>
  <conditionalFormatting sqref="BL71">
    <cfRule type="iconSet" priority="123">
      <iconSet iconSet="3Arrows">
        <cfvo type="percent" val="0"/>
        <cfvo type="formula" val="$BM$71"/>
        <cfvo type="formula" val="$BM$71" gte="0"/>
      </iconSet>
    </cfRule>
  </conditionalFormatting>
  <conditionalFormatting sqref="BL72">
    <cfRule type="iconSet" priority="122">
      <iconSet iconSet="3Arrows">
        <cfvo type="percent" val="0"/>
        <cfvo type="formula" val="$BM$72"/>
        <cfvo type="formula" val="$BM$72" gte="0"/>
      </iconSet>
    </cfRule>
  </conditionalFormatting>
  <conditionalFormatting sqref="BL73">
    <cfRule type="iconSet" priority="121">
      <iconSet iconSet="3Arrows">
        <cfvo type="percent" val="0"/>
        <cfvo type="formula" val="$BM$73"/>
        <cfvo type="formula" val="$BM$73" gte="0"/>
      </iconSet>
    </cfRule>
  </conditionalFormatting>
  <conditionalFormatting sqref="Z69">
    <cfRule type="iconSet" priority="120">
      <iconSet iconSet="3Arrows">
        <cfvo type="percent" val="0"/>
        <cfvo type="formula" val="$AA$69"/>
        <cfvo type="formula" val="$AA$69" gte="0"/>
      </iconSet>
    </cfRule>
  </conditionalFormatting>
  <conditionalFormatting sqref="Z70">
    <cfRule type="iconSet" priority="119">
      <iconSet iconSet="3Arrows">
        <cfvo type="percent" val="0"/>
        <cfvo type="formula" val="$AA$70"/>
        <cfvo type="formula" val="$AA$70" gte="0"/>
      </iconSet>
    </cfRule>
  </conditionalFormatting>
  <conditionalFormatting sqref="Z71">
    <cfRule type="iconSet" priority="118">
      <iconSet iconSet="3Arrows">
        <cfvo type="percent" val="0"/>
        <cfvo type="formula" val="$AA$71"/>
        <cfvo type="formula" val="$AA$71" gte="0"/>
      </iconSet>
    </cfRule>
  </conditionalFormatting>
  <conditionalFormatting sqref="Z72">
    <cfRule type="iconSet" priority="117">
      <iconSet iconSet="3Arrows">
        <cfvo type="percent" val="0"/>
        <cfvo type="formula" val="$AA$72"/>
        <cfvo type="formula" val="$AA$72" gte="0"/>
      </iconSet>
    </cfRule>
  </conditionalFormatting>
  <conditionalFormatting sqref="Z73">
    <cfRule type="iconSet" priority="116">
      <iconSet iconSet="3Arrows">
        <cfvo type="percent" val="0"/>
        <cfvo type="formula" val="$AA$73"/>
        <cfvo type="formula" val="$AA$73" gte="0"/>
      </iconSet>
    </cfRule>
  </conditionalFormatting>
  <conditionalFormatting sqref="BL6">
    <cfRule type="iconSet" priority="115">
      <iconSet iconSet="3Arrows">
        <cfvo type="percent" val="0"/>
        <cfvo type="formula" val="$BM$6"/>
        <cfvo type="formula" val="$BM$6" gte="0"/>
      </iconSet>
    </cfRule>
  </conditionalFormatting>
  <conditionalFormatting sqref="BL7">
    <cfRule type="iconSet" priority="114">
      <iconSet iconSet="3Arrows">
        <cfvo type="percent" val="0"/>
        <cfvo type="formula" val="$BM$7"/>
        <cfvo type="formula" val="$BM$7" gte="0"/>
      </iconSet>
    </cfRule>
  </conditionalFormatting>
  <conditionalFormatting sqref="BL9">
    <cfRule type="iconSet" priority="113">
      <iconSet iconSet="3Arrows">
        <cfvo type="percent" val="0"/>
        <cfvo type="formula" val="$BM$9"/>
        <cfvo type="formula" val="$BM$9" gte="0"/>
      </iconSet>
    </cfRule>
  </conditionalFormatting>
  <conditionalFormatting sqref="BL12">
    <cfRule type="iconSet" priority="112">
      <iconSet iconSet="3Arrows">
        <cfvo type="percent" val="0"/>
        <cfvo type="formula" val="$BM$12"/>
        <cfvo type="formula" val="$BM$12" gte="0"/>
      </iconSet>
    </cfRule>
  </conditionalFormatting>
  <conditionalFormatting sqref="BL13">
    <cfRule type="iconSet" priority="111">
      <iconSet iconSet="3Arrows">
        <cfvo type="percent" val="0"/>
        <cfvo type="formula" val="$BM$13"/>
        <cfvo type="formula" val="$BM$13" gte="0"/>
      </iconSet>
    </cfRule>
  </conditionalFormatting>
  <conditionalFormatting sqref="BL17">
    <cfRule type="iconSet" priority="110">
      <iconSet iconSet="3Arrows">
        <cfvo type="percent" val="0"/>
        <cfvo type="formula" val="$BM$17"/>
        <cfvo type="formula" val="$BM$17" gte="0"/>
      </iconSet>
    </cfRule>
  </conditionalFormatting>
  <conditionalFormatting sqref="BL18">
    <cfRule type="iconSet" priority="109">
      <iconSet iconSet="3Arrows">
        <cfvo type="percent" val="0"/>
        <cfvo type="formula" val="$BM$18"/>
        <cfvo type="formula" val="$BM$18" gte="0"/>
      </iconSet>
    </cfRule>
  </conditionalFormatting>
  <conditionalFormatting sqref="BL20">
    <cfRule type="iconSet" priority="108">
      <iconSet iconSet="3Arrows">
        <cfvo type="percent" val="0"/>
        <cfvo type="formula" val="$BM$20"/>
        <cfvo type="formula" val="$BM$20" gte="0"/>
      </iconSet>
    </cfRule>
  </conditionalFormatting>
  <conditionalFormatting sqref="BL21">
    <cfRule type="iconSet" priority="107">
      <iconSet iconSet="3Arrows">
        <cfvo type="percent" val="0"/>
        <cfvo type="formula" val="$BM$21"/>
        <cfvo type="formula" val="$BM$21" gte="0"/>
      </iconSet>
    </cfRule>
  </conditionalFormatting>
  <conditionalFormatting sqref="BL23">
    <cfRule type="iconSet" priority="106">
      <iconSet iconSet="3Arrows">
        <cfvo type="percent" val="0"/>
        <cfvo type="formula" val="$BM$23"/>
        <cfvo type="formula" val="$BM$23" gte="0"/>
      </iconSet>
    </cfRule>
  </conditionalFormatting>
  <conditionalFormatting sqref="BL26">
    <cfRule type="iconSet" priority="105">
      <iconSet iconSet="3Arrows">
        <cfvo type="percent" val="0"/>
        <cfvo type="formula" val="$BM$26"/>
        <cfvo type="formula" val="$BM$26" gte="0"/>
      </iconSet>
    </cfRule>
  </conditionalFormatting>
  <conditionalFormatting sqref="BL29">
    <cfRule type="iconSet" priority="104">
      <iconSet iconSet="3Arrows">
        <cfvo type="percent" val="0"/>
        <cfvo type="formula" val="$BM$29"/>
        <cfvo type="formula" val="$BM$29" gte="0"/>
      </iconSet>
    </cfRule>
  </conditionalFormatting>
  <conditionalFormatting sqref="BL30">
    <cfRule type="iconSet" priority="103">
      <iconSet iconSet="3Arrows">
        <cfvo type="percent" val="0"/>
        <cfvo type="formula" val="$BM$30"/>
        <cfvo type="formula" val="$BM$30" gte="0"/>
      </iconSet>
    </cfRule>
  </conditionalFormatting>
  <conditionalFormatting sqref="BL34">
    <cfRule type="iconSet" priority="102">
      <iconSet iconSet="3Arrows">
        <cfvo type="percent" val="0"/>
        <cfvo type="formula" val="$BM$34"/>
        <cfvo type="formula" val="$BM$34" gte="0"/>
      </iconSet>
    </cfRule>
  </conditionalFormatting>
  <conditionalFormatting sqref="BL62">
    <cfRule type="iconSet" priority="101">
      <iconSet iconSet="3Arrows">
        <cfvo type="percent" val="0"/>
        <cfvo type="formula" val="$BM$62"/>
        <cfvo type="formula" val="$BM$62" gte="0"/>
      </iconSet>
    </cfRule>
  </conditionalFormatting>
  <conditionalFormatting sqref="BL61">
    <cfRule type="iconSet" priority="100">
      <iconSet iconSet="3Arrows">
        <cfvo type="percent" val="0"/>
        <cfvo type="formula" val="$BM$61"/>
        <cfvo type="formula" val="$BM$61" gte="0"/>
      </iconSet>
    </cfRule>
  </conditionalFormatting>
  <conditionalFormatting sqref="BL57">
    <cfRule type="iconSet" priority="99">
      <iconSet iconSet="3Arrows">
        <cfvo type="percent" val="0"/>
        <cfvo type="formula" val="$BM$57"/>
        <cfvo type="formula" val="$BM$57" gte="0"/>
      </iconSet>
    </cfRule>
  </conditionalFormatting>
  <conditionalFormatting sqref="BL55">
    <cfRule type="iconSet" priority="98">
      <iconSet iconSet="3Arrows">
        <cfvo type="percent" val="0"/>
        <cfvo type="formula" val="$BM$55"/>
        <cfvo type="formula" val="$BM$55" gte="0"/>
      </iconSet>
    </cfRule>
  </conditionalFormatting>
  <conditionalFormatting sqref="BL54">
    <cfRule type="iconSet" priority="97">
      <iconSet iconSet="3Arrows">
        <cfvo type="percent" val="0"/>
        <cfvo type="formula" val="$BM$54"/>
        <cfvo type="formula" val="$BM$54" gte="0"/>
      </iconSet>
    </cfRule>
  </conditionalFormatting>
  <conditionalFormatting sqref="BL53">
    <cfRule type="iconSet" priority="96">
      <iconSet iconSet="3Arrows">
        <cfvo type="percent" val="0"/>
        <cfvo type="formula" val="$BM$53"/>
        <cfvo type="formula" val="$BM$53" gte="0"/>
      </iconSet>
    </cfRule>
  </conditionalFormatting>
  <conditionalFormatting sqref="BL52">
    <cfRule type="iconSet" priority="95">
      <iconSet iconSet="3Arrows">
        <cfvo type="percent" val="0"/>
        <cfvo type="formula" val="$BM$52"/>
        <cfvo type="formula" val="$BM$52" gte="0"/>
      </iconSet>
    </cfRule>
  </conditionalFormatting>
  <conditionalFormatting sqref="BL51">
    <cfRule type="iconSet" priority="94">
      <iconSet iconSet="3Arrows">
        <cfvo type="percent" val="0"/>
        <cfvo type="formula" val="$BM$51"/>
        <cfvo type="formula" val="$BM$51" gte="0"/>
      </iconSet>
    </cfRule>
  </conditionalFormatting>
  <conditionalFormatting sqref="BL50">
    <cfRule type="iconSet" priority="93">
      <iconSet iconSet="3Arrows">
        <cfvo type="percent" val="0"/>
        <cfvo type="formula" val="$BM$50"/>
        <cfvo type="formula" val="$BM$50" gte="0"/>
      </iconSet>
    </cfRule>
  </conditionalFormatting>
  <conditionalFormatting sqref="BL49">
    <cfRule type="iconSet" priority="92">
      <iconSet iconSet="3Arrows">
        <cfvo type="percent" val="0"/>
        <cfvo type="formula" val="$BM$49"/>
        <cfvo type="formula" val="$BM$49" gte="0"/>
      </iconSet>
    </cfRule>
  </conditionalFormatting>
  <conditionalFormatting sqref="BL48">
    <cfRule type="iconSet" priority="91">
      <iconSet iconSet="3Arrows">
        <cfvo type="percent" val="0"/>
        <cfvo type="formula" val="$BM$48"/>
        <cfvo type="formula" val="$BM$48" gte="0"/>
      </iconSet>
    </cfRule>
  </conditionalFormatting>
  <conditionalFormatting sqref="BL47">
    <cfRule type="iconSet" priority="90">
      <iconSet iconSet="3Arrows">
        <cfvo type="percent" val="0"/>
        <cfvo type="formula" val="$BM$47"/>
        <cfvo type="formula" val="$BM$47" gte="0"/>
      </iconSet>
    </cfRule>
  </conditionalFormatting>
  <conditionalFormatting sqref="BL46">
    <cfRule type="iconSet" priority="89">
      <iconSet iconSet="3Arrows">
        <cfvo type="percent" val="0"/>
        <cfvo type="formula" val="$BM$46"/>
        <cfvo type="formula" val="$BM$46"/>
      </iconSet>
    </cfRule>
  </conditionalFormatting>
  <conditionalFormatting sqref="BL45">
    <cfRule type="iconSet" priority="88">
      <iconSet iconSet="3Arrows">
        <cfvo type="percent" val="0"/>
        <cfvo type="formula" val="$BM$45"/>
        <cfvo type="formula" val="$BM$45" gte="0"/>
      </iconSet>
    </cfRule>
  </conditionalFormatting>
  <conditionalFormatting sqref="BL44">
    <cfRule type="iconSet" priority="87">
      <iconSet iconSet="3Arrows">
        <cfvo type="percent" val="0"/>
        <cfvo type="formula" val="$BM$44"/>
        <cfvo type="formula" val="$BM$44" gte="0"/>
      </iconSet>
    </cfRule>
  </conditionalFormatting>
  <conditionalFormatting sqref="BL43">
    <cfRule type="iconSet" priority="86">
      <iconSet iconSet="3Arrows">
        <cfvo type="percent" val="0"/>
        <cfvo type="formula" val="$BM$43"/>
        <cfvo type="formula" val="$BM$43" gte="0"/>
      </iconSet>
    </cfRule>
  </conditionalFormatting>
  <conditionalFormatting sqref="BL42">
    <cfRule type="iconSet" priority="85">
      <iconSet iconSet="3Arrows">
        <cfvo type="percent" val="0"/>
        <cfvo type="formula" val="$BM$42"/>
        <cfvo type="formula" val="$BM$42" gte="0"/>
      </iconSet>
    </cfRule>
  </conditionalFormatting>
  <conditionalFormatting sqref="BL39">
    <cfRule type="iconSet" priority="84">
      <iconSet iconSet="3Arrows">
        <cfvo type="percent" val="0"/>
        <cfvo type="formula" val="$BM$39"/>
        <cfvo type="formula" val="$BM$39" gte="0"/>
      </iconSet>
    </cfRule>
  </conditionalFormatting>
  <conditionalFormatting sqref="BL37">
    <cfRule type="iconSet" priority="83">
      <iconSet iconSet="3Arrows">
        <cfvo type="percent" val="0"/>
        <cfvo type="formula" val="$BM$37"/>
        <cfvo type="formula" val="$BM$37" gte="0"/>
      </iconSet>
    </cfRule>
  </conditionalFormatting>
  <conditionalFormatting sqref="BL36">
    <cfRule type="iconSet" priority="82">
      <iconSet iconSet="3Arrows">
        <cfvo type="percent" val="0"/>
        <cfvo type="formula" val="$BM$36"/>
        <cfvo type="formula" val="$BM$36" gte="0"/>
      </iconSet>
    </cfRule>
  </conditionalFormatting>
  <conditionalFormatting sqref="BL35">
    <cfRule type="iconSet" priority="81">
      <iconSet iconSet="3Arrows">
        <cfvo type="percent" val="0"/>
        <cfvo type="formula" val="$BM$35"/>
        <cfvo type="formula" val="$BM$35" gte="0"/>
      </iconSet>
    </cfRule>
  </conditionalFormatting>
  <conditionalFormatting sqref="AE6">
    <cfRule type="iconSet" priority="80">
      <iconSet iconSet="3Arrows">
        <cfvo type="percent" val="0"/>
        <cfvo type="formula" val="$AF$6"/>
        <cfvo type="formula" val="$AF$6" gte="0"/>
      </iconSet>
    </cfRule>
  </conditionalFormatting>
  <conditionalFormatting sqref="AE7">
    <cfRule type="iconSet" priority="79">
      <iconSet iconSet="3Arrows">
        <cfvo type="percent" val="0"/>
        <cfvo type="formula" val="$AF$7"/>
        <cfvo type="formula" val="$AF$7" gte="0"/>
      </iconSet>
    </cfRule>
  </conditionalFormatting>
  <conditionalFormatting sqref="AE9">
    <cfRule type="iconSet" priority="78">
      <iconSet iconSet="3Arrows">
        <cfvo type="percent" val="0"/>
        <cfvo type="formula" val="$AF$9"/>
        <cfvo type="formula" val="$AF$9" gte="0"/>
      </iconSet>
    </cfRule>
  </conditionalFormatting>
  <conditionalFormatting sqref="AE10">
    <cfRule type="iconSet" priority="77">
      <iconSet iconSet="3Arrows">
        <cfvo type="percent" val="0"/>
        <cfvo type="formula" val="$AF$10"/>
        <cfvo type="formula" val="$AF$10" gte="0"/>
      </iconSet>
    </cfRule>
  </conditionalFormatting>
  <conditionalFormatting sqref="AE12">
    <cfRule type="iconSet" priority="76">
      <iconSet iconSet="3Arrows">
        <cfvo type="percent" val="0"/>
        <cfvo type="formula" val="$AF$12"/>
        <cfvo type="formula" val="$AF$12" gte="0"/>
      </iconSet>
    </cfRule>
  </conditionalFormatting>
  <conditionalFormatting sqref="AE13">
    <cfRule type="iconSet" priority="75">
      <iconSet iconSet="3Arrows">
        <cfvo type="percent" val="0"/>
        <cfvo type="formula" val="$AF$13"/>
        <cfvo type="formula" val="$AF$13" gte="0"/>
      </iconSet>
    </cfRule>
  </conditionalFormatting>
  <conditionalFormatting sqref="AE16">
    <cfRule type="iconSet" priority="74">
      <iconSet iconSet="3Arrows">
        <cfvo type="percent" val="0"/>
        <cfvo type="formula" val="$AF$16"/>
        <cfvo type="formula" val="$AF$16" gte="0"/>
      </iconSet>
    </cfRule>
  </conditionalFormatting>
  <conditionalFormatting sqref="AE17">
    <cfRule type="iconSet" priority="73">
      <iconSet iconSet="3Arrows">
        <cfvo type="percent" val="0"/>
        <cfvo type="formula" val="$AF$17"/>
        <cfvo type="formula" val="$AF$17" gte="0"/>
      </iconSet>
    </cfRule>
  </conditionalFormatting>
  <conditionalFormatting sqref="AE18">
    <cfRule type="iconSet" priority="72">
      <iconSet iconSet="3Arrows">
        <cfvo type="percent" val="0"/>
        <cfvo type="formula" val="$AF$18"/>
        <cfvo type="formula" val="$AF$18" gte="0"/>
      </iconSet>
    </cfRule>
  </conditionalFormatting>
  <conditionalFormatting sqref="AE20">
    <cfRule type="iconSet" priority="71">
      <iconSet iconSet="3Arrows">
        <cfvo type="percent" val="0"/>
        <cfvo type="formula" val="$AF$20"/>
        <cfvo type="formula" val="$AF$20" gte="0"/>
      </iconSet>
    </cfRule>
  </conditionalFormatting>
  <conditionalFormatting sqref="AE21">
    <cfRule type="iconSet" priority="70">
      <iconSet iconSet="3Arrows">
        <cfvo type="percent" val="0"/>
        <cfvo type="formula" val="$AF$21"/>
        <cfvo type="formula" val="$AF$21" gte="0"/>
      </iconSet>
    </cfRule>
  </conditionalFormatting>
  <conditionalFormatting sqref="AE22">
    <cfRule type="iconSet" priority="69">
      <iconSet iconSet="3Arrows">
        <cfvo type="percent" val="0"/>
        <cfvo type="formula" val="$AF$22"/>
        <cfvo type="formula" val="$AF$22" gte="0"/>
      </iconSet>
    </cfRule>
  </conditionalFormatting>
  <conditionalFormatting sqref="AE23">
    <cfRule type="iconSet" priority="68">
      <iconSet iconSet="3Arrows">
        <cfvo type="percent" val="0"/>
        <cfvo type="formula" val="$AF$23"/>
        <cfvo type="formula" val="$AF$23" gte="0"/>
      </iconSet>
    </cfRule>
  </conditionalFormatting>
  <conditionalFormatting sqref="AE24">
    <cfRule type="iconSet" priority="67">
      <iconSet iconSet="3Arrows">
        <cfvo type="percent" val="0"/>
        <cfvo type="formula" val="$AF$24"/>
        <cfvo type="formula" val="$AF$24" gte="0"/>
      </iconSet>
    </cfRule>
  </conditionalFormatting>
  <conditionalFormatting sqref="AE26">
    <cfRule type="iconSet" priority="66">
      <iconSet iconSet="3Arrows">
        <cfvo type="percent" val="0"/>
        <cfvo type="formula" val="$AF$26"/>
        <cfvo type="formula" val="$AF$26" gte="0"/>
      </iconSet>
    </cfRule>
  </conditionalFormatting>
  <conditionalFormatting sqref="AE27">
    <cfRule type="iconSet" priority="65">
      <iconSet iconSet="3Arrows">
        <cfvo type="percent" val="0"/>
        <cfvo type="formula" val="$AF$27"/>
        <cfvo type="formula" val="$AF$27" gte="0"/>
      </iconSet>
    </cfRule>
  </conditionalFormatting>
  <conditionalFormatting sqref="AE29">
    <cfRule type="iconSet" priority="64">
      <iconSet iconSet="3Arrows">
        <cfvo type="percent" val="0"/>
        <cfvo type="formula" val="$AF$29"/>
        <cfvo type="formula" val="$AF$29" gte="0"/>
      </iconSet>
    </cfRule>
  </conditionalFormatting>
  <conditionalFormatting sqref="AE30">
    <cfRule type="iconSet" priority="63">
      <iconSet iconSet="3Arrows">
        <cfvo type="percent" val="0"/>
        <cfvo type="formula" val="$AF$30"/>
        <cfvo type="formula" val="$AF$30" gte="0"/>
      </iconSet>
    </cfRule>
  </conditionalFormatting>
  <conditionalFormatting sqref="AE32">
    <cfRule type="iconSet" priority="62">
      <iconSet iconSet="3Arrows">
        <cfvo type="percent" val="0"/>
        <cfvo type="formula" val="$AF$32"/>
        <cfvo type="formula" val="$AF$32" gte="0"/>
      </iconSet>
    </cfRule>
  </conditionalFormatting>
  <conditionalFormatting sqref="AE34">
    <cfRule type="iconSet" priority="61">
      <iconSet iconSet="3Arrows">
        <cfvo type="percent" val="0"/>
        <cfvo type="formula" val="$AF$34"/>
        <cfvo type="formula" val="$AF$34" gte="0"/>
      </iconSet>
    </cfRule>
  </conditionalFormatting>
  <conditionalFormatting sqref="AE35">
    <cfRule type="iconSet" priority="60">
      <iconSet iconSet="3Arrows">
        <cfvo type="percent" val="0"/>
        <cfvo type="formula" val="$AF$35"/>
        <cfvo type="formula" val="$AF$35" gte="0"/>
      </iconSet>
    </cfRule>
  </conditionalFormatting>
  <conditionalFormatting sqref="AE36">
    <cfRule type="iconSet" priority="59">
      <iconSet iconSet="3Arrows">
        <cfvo type="percent" val="0"/>
        <cfvo type="formula" val="$AF$36"/>
        <cfvo type="formula" val="$AF$36" gte="0"/>
      </iconSet>
    </cfRule>
  </conditionalFormatting>
  <conditionalFormatting sqref="AE37">
    <cfRule type="iconSet" priority="58">
      <iconSet iconSet="3Arrows">
        <cfvo type="percent" val="0"/>
        <cfvo type="formula" val="$AF$37"/>
        <cfvo type="formula" val="$AF$37" gte="0"/>
      </iconSet>
    </cfRule>
  </conditionalFormatting>
  <conditionalFormatting sqref="AE38">
    <cfRule type="iconSet" priority="57">
      <iconSet iconSet="3Arrows">
        <cfvo type="percent" val="0"/>
        <cfvo type="formula" val="$AF$38"/>
        <cfvo type="formula" val="$AF$38" gte="0"/>
      </iconSet>
    </cfRule>
  </conditionalFormatting>
  <conditionalFormatting sqref="AE39">
    <cfRule type="iconSet" priority="56">
      <iconSet iconSet="3Arrows">
        <cfvo type="percent" val="0"/>
        <cfvo type="formula" val="$AF$39"/>
        <cfvo type="formula" val="$AF$39" gte="0"/>
      </iconSet>
    </cfRule>
  </conditionalFormatting>
  <conditionalFormatting sqref="AE42">
    <cfRule type="iconSet" priority="55">
      <iconSet iconSet="3Arrows">
        <cfvo type="percent" val="0"/>
        <cfvo type="formula" val="$AF$42"/>
        <cfvo type="formula" val="$AF$42" gte="0"/>
      </iconSet>
    </cfRule>
  </conditionalFormatting>
  <conditionalFormatting sqref="AE43">
    <cfRule type="iconSet" priority="54">
      <iconSet iconSet="3Arrows">
        <cfvo type="percent" val="0"/>
        <cfvo type="formula" val="$AF$43"/>
        <cfvo type="formula" val="$AF$43" gte="0"/>
      </iconSet>
    </cfRule>
  </conditionalFormatting>
  <conditionalFormatting sqref="AE44">
    <cfRule type="iconSet" priority="53">
      <iconSet iconSet="3Arrows">
        <cfvo type="percent" val="0"/>
        <cfvo type="formula" val="$AF$44"/>
        <cfvo type="formula" val="$AF$44" gte="0"/>
      </iconSet>
    </cfRule>
  </conditionalFormatting>
  <conditionalFormatting sqref="AE45">
    <cfRule type="iconSet" priority="52">
      <iconSet iconSet="3Arrows">
        <cfvo type="percent" val="0"/>
        <cfvo type="formula" val="$AF$45"/>
        <cfvo type="formula" val="$AF$45" gte="0"/>
      </iconSet>
    </cfRule>
  </conditionalFormatting>
  <conditionalFormatting sqref="AE46">
    <cfRule type="iconSet" priority="51">
      <iconSet iconSet="3Arrows">
        <cfvo type="percent" val="0"/>
        <cfvo type="formula" val="$AF$46"/>
        <cfvo type="formula" val="$AF$46" gte="0"/>
      </iconSet>
    </cfRule>
  </conditionalFormatting>
  <conditionalFormatting sqref="AE47">
    <cfRule type="iconSet" priority="50">
      <iconSet iconSet="3Arrows">
        <cfvo type="percent" val="0"/>
        <cfvo type="formula" val="$AF$47"/>
        <cfvo type="formula" val="$AF$47" gte="0"/>
      </iconSet>
    </cfRule>
  </conditionalFormatting>
  <conditionalFormatting sqref="AE48">
    <cfRule type="iconSet" priority="49">
      <iconSet iconSet="3Arrows">
        <cfvo type="percent" val="0"/>
        <cfvo type="formula" val="$AF$48"/>
        <cfvo type="formula" val="$AF$48" gte="0"/>
      </iconSet>
    </cfRule>
  </conditionalFormatting>
  <conditionalFormatting sqref="AE49">
    <cfRule type="iconSet" priority="48">
      <iconSet iconSet="3Arrows">
        <cfvo type="percent" val="0"/>
        <cfvo type="formula" val="$AF$49"/>
        <cfvo type="formula" val="$AF$49" gte="0"/>
      </iconSet>
    </cfRule>
  </conditionalFormatting>
  <conditionalFormatting sqref="AE51">
    <cfRule type="iconSet" priority="47">
      <iconSet iconSet="3Arrows">
        <cfvo type="percent" val="0"/>
        <cfvo type="formula" val="$AF$51"/>
        <cfvo type="formula" val="$AF$51" gte="0"/>
      </iconSet>
    </cfRule>
  </conditionalFormatting>
  <conditionalFormatting sqref="AE52">
    <cfRule type="iconSet" priority="46">
      <iconSet iconSet="3Arrows">
        <cfvo type="percent" val="0"/>
        <cfvo type="formula" val="$AF$52"/>
        <cfvo type="formula" val="$AF$52" gte="0"/>
      </iconSet>
    </cfRule>
  </conditionalFormatting>
  <conditionalFormatting sqref="AE53">
    <cfRule type="iconSet" priority="45">
      <iconSet iconSet="3Arrows">
        <cfvo type="percent" val="0"/>
        <cfvo type="formula" val="$AF$53"/>
        <cfvo type="formula" val="$AF$53" gte="0"/>
      </iconSet>
    </cfRule>
  </conditionalFormatting>
  <conditionalFormatting sqref="AE54">
    <cfRule type="iconSet" priority="44">
      <iconSet iconSet="3Arrows">
        <cfvo type="percent" val="0"/>
        <cfvo type="formula" val="$AF$54"/>
        <cfvo type="formula" val="$AF$54" gte="0"/>
      </iconSet>
    </cfRule>
  </conditionalFormatting>
  <conditionalFormatting sqref="AE55">
    <cfRule type="iconSet" priority="43">
      <iconSet iconSet="3Arrows">
        <cfvo type="percent" val="0"/>
        <cfvo type="formula" val="$AF$55"/>
        <cfvo type="formula" val="$AF$55" gte="0"/>
      </iconSet>
    </cfRule>
  </conditionalFormatting>
  <conditionalFormatting sqref="AE56">
    <cfRule type="iconSet" priority="42">
      <iconSet iconSet="3Arrows">
        <cfvo type="percent" val="0"/>
        <cfvo type="formula" val="$AF$56"/>
        <cfvo type="formula" val="$AF$56" gte="0"/>
      </iconSet>
    </cfRule>
  </conditionalFormatting>
  <conditionalFormatting sqref="AE57">
    <cfRule type="iconSet" priority="41">
      <iconSet iconSet="3Arrows">
        <cfvo type="percent" val="0"/>
        <cfvo type="formula" val="$AF$57"/>
        <cfvo type="formula" val="$AF$57" gte="0"/>
      </iconSet>
    </cfRule>
  </conditionalFormatting>
  <conditionalFormatting sqref="AE61">
    <cfRule type="iconSet" priority="40">
      <iconSet iconSet="3Arrows">
        <cfvo type="percent" val="0"/>
        <cfvo type="formula" val="$AF$61"/>
        <cfvo type="formula" val="$AF$61" gte="0"/>
      </iconSet>
    </cfRule>
  </conditionalFormatting>
  <conditionalFormatting sqref="AE69">
    <cfRule type="iconSet" priority="39">
      <iconSet iconSet="3Arrows">
        <cfvo type="percent" val="0"/>
        <cfvo type="formula" val="$AF$69"/>
        <cfvo type="formula" val="$AF$69" gte="0"/>
      </iconSet>
    </cfRule>
  </conditionalFormatting>
  <conditionalFormatting sqref="AE70">
    <cfRule type="iconSet" priority="38">
      <iconSet iconSet="3Arrows">
        <cfvo type="percent" val="0"/>
        <cfvo type="formula" val="$AF$70"/>
        <cfvo type="formula" val="$AF$70" gte="0"/>
      </iconSet>
    </cfRule>
  </conditionalFormatting>
  <conditionalFormatting sqref="AE71">
    <cfRule type="iconSet" priority="37">
      <iconSet iconSet="3Arrows">
        <cfvo type="percent" val="0"/>
        <cfvo type="formula" val="$AF$71"/>
        <cfvo type="formula" val="$AF$71" gte="0"/>
      </iconSet>
    </cfRule>
  </conditionalFormatting>
  <conditionalFormatting sqref="AE72">
    <cfRule type="iconSet" priority="36">
      <iconSet iconSet="3Arrows">
        <cfvo type="percent" val="0"/>
        <cfvo type="formula" val="$AF$72"/>
        <cfvo type="formula" val="$AF$72" gte="0"/>
      </iconSet>
    </cfRule>
  </conditionalFormatting>
  <conditionalFormatting sqref="AE73">
    <cfRule type="iconSet" priority="35">
      <iconSet iconSet="3Arrows">
        <cfvo type="percent" val="0"/>
        <cfvo type="formula" val="$AF$73"/>
        <cfvo type="formula" val="$AF$73" gte="0"/>
      </iconSet>
    </cfRule>
  </conditionalFormatting>
  <conditionalFormatting sqref="BL8">
    <cfRule type="iconSet" priority="19">
      <iconSet iconSet="3Arrows">
        <cfvo type="percent" val="0"/>
        <cfvo type="formula" val="$BM$8"/>
        <cfvo type="formula" val="$BM$8" gte="0"/>
      </iconSet>
    </cfRule>
  </conditionalFormatting>
  <conditionalFormatting sqref="BL10">
    <cfRule type="iconSet" priority="18">
      <iconSet iconSet="3Arrows">
        <cfvo type="percent" val="0"/>
        <cfvo type="formula" val="$BM$10"/>
        <cfvo type="formula" val="$BM$10" gte="0"/>
      </iconSet>
    </cfRule>
  </conditionalFormatting>
  <conditionalFormatting sqref="BL11">
    <cfRule type="iconSet" priority="17">
      <iconSet iconSet="3Arrows">
        <cfvo type="percent" val="0"/>
        <cfvo type="formula" val="$BM$11"/>
        <cfvo type="formula" val="$BM$11" gte="0"/>
      </iconSet>
    </cfRule>
  </conditionalFormatting>
  <conditionalFormatting sqref="BL14">
    <cfRule type="iconSet" priority="16">
      <iconSet iconSet="3Arrows">
        <cfvo type="percent" val="0"/>
        <cfvo type="formula" val="$BM$14"/>
        <cfvo type="formula" val="$BM$14" gte="0"/>
      </iconSet>
    </cfRule>
  </conditionalFormatting>
  <conditionalFormatting sqref="BL15">
    <cfRule type="iconSet" priority="15">
      <iconSet iconSet="3Arrows">
        <cfvo type="percent" val="0"/>
        <cfvo type="formula" val="$BM$15"/>
        <cfvo type="formula" val="$BM$15" gte="0"/>
      </iconSet>
    </cfRule>
  </conditionalFormatting>
  <conditionalFormatting sqref="BL16">
    <cfRule type="iconSet" priority="14">
      <iconSet iconSet="3Arrows">
        <cfvo type="percent" val="0"/>
        <cfvo type="formula" val="$BM$16"/>
        <cfvo type="formula" val="$BM$16" gte="0"/>
      </iconSet>
    </cfRule>
  </conditionalFormatting>
  <conditionalFormatting sqref="BL19">
    <cfRule type="iconSet" priority="13">
      <iconSet iconSet="3Arrows">
        <cfvo type="percent" val="0"/>
        <cfvo type="formula" val="$BM$19"/>
        <cfvo type="formula" val="$BM$19" gte="0"/>
      </iconSet>
    </cfRule>
  </conditionalFormatting>
  <conditionalFormatting sqref="BL22">
    <cfRule type="iconSet" priority="12">
      <iconSet iconSet="3Arrows">
        <cfvo type="percent" val="0"/>
        <cfvo type="formula" val="$BM$22"/>
        <cfvo type="formula" val="$BM$22" gte="0"/>
      </iconSet>
    </cfRule>
  </conditionalFormatting>
  <conditionalFormatting sqref="BL24">
    <cfRule type="iconSet" priority="11">
      <iconSet iconSet="3Arrows">
        <cfvo type="percent" val="0"/>
        <cfvo type="formula" val="$BM$24"/>
        <cfvo type="formula" val="$BM$24" gte="0"/>
      </iconSet>
    </cfRule>
  </conditionalFormatting>
  <conditionalFormatting sqref="BL25">
    <cfRule type="iconSet" priority="10">
      <iconSet iconSet="3Arrows">
        <cfvo type="percent" val="0"/>
        <cfvo type="formula" val="$BM$25"/>
        <cfvo type="formula" val="$BM$25" gte="0"/>
      </iconSet>
    </cfRule>
  </conditionalFormatting>
  <conditionalFormatting sqref="BL27">
    <cfRule type="iconSet" priority="9">
      <iconSet iconSet="3Arrows">
        <cfvo type="percent" val="0"/>
        <cfvo type="formula" val="$BM$27"/>
        <cfvo type="formula" val="$BM$27" gte="0"/>
      </iconSet>
    </cfRule>
  </conditionalFormatting>
  <conditionalFormatting sqref="BL28">
    <cfRule type="iconSet" priority="8">
      <iconSet iconSet="3Arrows">
        <cfvo type="percent" val="0"/>
        <cfvo type="formula" val="$BM$28"/>
        <cfvo type="formula" val="$BM$28" gte="0"/>
      </iconSet>
    </cfRule>
  </conditionalFormatting>
  <conditionalFormatting sqref="BL31">
    <cfRule type="iconSet" priority="7">
      <iconSet iconSet="3Arrows">
        <cfvo type="percent" val="0"/>
        <cfvo type="formula" val="$BM$31"/>
        <cfvo type="formula" val="$BM$31" gte="0"/>
      </iconSet>
    </cfRule>
  </conditionalFormatting>
  <conditionalFormatting sqref="BL32">
    <cfRule type="iconSet" priority="6">
      <iconSet iconSet="3Arrows">
        <cfvo type="percent" val="0"/>
        <cfvo type="formula" val="$BM$32"/>
        <cfvo type="formula" val="$BM$32" gte="0"/>
      </iconSet>
    </cfRule>
  </conditionalFormatting>
  <conditionalFormatting sqref="BL33">
    <cfRule type="iconSet" priority="5">
      <iconSet iconSet="3Arrows">
        <cfvo type="percent" val="0"/>
        <cfvo type="formula" val="$BM$33"/>
        <cfvo type="formula" val="$BM$33" gte="0"/>
      </iconSet>
    </cfRule>
  </conditionalFormatting>
  <conditionalFormatting sqref="BL38">
    <cfRule type="iconSet" priority="4">
      <iconSet iconSet="3Arrows">
        <cfvo type="percent" val="0"/>
        <cfvo type="formula" val="$BM$38"/>
        <cfvo type="formula" val="$BM$38" gte="0"/>
      </iconSet>
    </cfRule>
  </conditionalFormatting>
  <conditionalFormatting sqref="BL40">
    <cfRule type="iconSet" priority="3">
      <iconSet iconSet="3Arrows">
        <cfvo type="percent" val="0"/>
        <cfvo type="formula" val="$BM$40"/>
        <cfvo type="formula" val="$BM$40" gte="0"/>
      </iconSet>
    </cfRule>
  </conditionalFormatting>
  <conditionalFormatting sqref="BL41">
    <cfRule type="iconSet" priority="2">
      <iconSet iconSet="3Arrows">
        <cfvo type="percent" val="0"/>
        <cfvo type="formula" val="$BM$41"/>
        <cfvo type="formula" val="$BM$41" gte="0"/>
      </iconSet>
    </cfRule>
  </conditionalFormatting>
  <conditionalFormatting sqref="BL56">
    <cfRule type="iconSet" priority="1">
      <iconSet iconSet="3Arrows">
        <cfvo type="percent" val="0"/>
        <cfvo type="formula" val="$BM$56"/>
        <cfvo type="formula" val="$BM$56" gte="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616" id="{E533FF72-ECFE-4C3E-B88E-B003C915F2EE}">
            <xm:f>J6&lt;Benchmark!G$4</xm:f>
            <x14:dxf>
              <fill>
                <patternFill>
                  <bgColor rgb="FFFF0000"/>
                </patternFill>
              </fill>
            </x14:dxf>
          </x14:cfRule>
          <x14:cfRule type="expression" priority="1617" id="{2FA3DA7B-C5F6-4720-B714-57F63A0C8DFF}">
            <xm:f>J6&gt;=Benchmark!G$4</xm:f>
            <x14:dxf>
              <fill>
                <patternFill>
                  <bgColor rgb="FF92D050"/>
                </patternFill>
              </fill>
            </x14:dxf>
          </x14:cfRule>
          <xm:sqref>J69:J73 J6:J62</xm:sqref>
        </x14:conditionalFormatting>
        <x14:conditionalFormatting xmlns:xm="http://schemas.microsoft.com/office/excel/2006/main">
          <x14:cfRule type="expression" priority="1624" id="{8F1CBC61-4063-45E3-936F-2291E7065DDC}">
            <xm:f>AW6&lt;Benchmark!X$4</xm:f>
            <x14:dxf>
              <fill>
                <patternFill>
                  <bgColor rgb="FFFF0000"/>
                </patternFill>
              </fill>
            </x14:dxf>
          </x14:cfRule>
          <x14:cfRule type="expression" priority="1625" id="{55C9A5E7-7B4B-4F36-A094-4C86556B681C}">
            <xm:f>AW6&gt;=Benchmark!X$4</xm:f>
            <x14:dxf>
              <fill>
                <patternFill>
                  <bgColor rgb="FF92D050"/>
                </patternFill>
              </fill>
            </x14:dxf>
          </x14:cfRule>
          <xm:sqref>AW69:AW73 AW61:AW62 AW57 AW42:AW55 AW39 AW34:AW37 AW29:AW30 AW23 AW17:AW21 AW9:AW10 AW6:AW7 AW26:AW27 AW12:AW13</xm:sqref>
        </x14:conditionalFormatting>
        <x14:conditionalFormatting xmlns:xm="http://schemas.microsoft.com/office/excel/2006/main">
          <x14:cfRule type="expression" priority="1627" id="{BE2BDBCF-3D1C-416B-854D-141C2CFDC45A}">
            <xm:f>AZ6&gt;=Benchmark!Z$4</xm:f>
            <x14:dxf>
              <fill>
                <patternFill>
                  <bgColor rgb="FF92D050"/>
                </patternFill>
              </fill>
            </x14:dxf>
          </x14:cfRule>
          <xm:sqref>AZ6:AZ62 AZ69:AZ73</xm:sqref>
        </x14:conditionalFormatting>
        <x14:conditionalFormatting xmlns:xm="http://schemas.microsoft.com/office/excel/2006/main">
          <x14:cfRule type="expression" priority="1628" id="{BE61FD03-23E9-4877-9B9F-96BEA3E7316E}">
            <xm:f>BC6&lt;Benchmark!AB$4</xm:f>
            <x14:dxf>
              <fill>
                <patternFill>
                  <bgColor rgb="FFFF0000"/>
                </patternFill>
              </fill>
            </x14:dxf>
          </x14:cfRule>
          <x14:cfRule type="expression" priority="1629" id="{2EF00CDD-234A-4AFD-886C-AB857BCCC2B6}">
            <xm:f>BC6&gt;=Benchmark!AB$4</xm:f>
            <x14:dxf>
              <fill>
                <patternFill>
                  <bgColor rgb="FF92D050"/>
                </patternFill>
              </fill>
            </x14:dxf>
          </x14:cfRule>
          <xm:sqref>BC69:BC73 BC61:BC62 BC57 BC42:BC55 BC39 BC34:BC37 BC29:BC30 BC23 BC17:BC21 BC9:BC10 BC6:BC7 BC26:BC27 BC12:BC13</xm:sqref>
        </x14:conditionalFormatting>
        <x14:conditionalFormatting xmlns:xm="http://schemas.microsoft.com/office/excel/2006/main">
          <x14:cfRule type="expression" priority="1630" id="{5DC22B50-C8A7-4C85-B8A9-5B720E4B5DB5}">
            <xm:f>BF6&lt;Benchmark!AD$4</xm:f>
            <x14:dxf>
              <fill>
                <patternFill>
                  <bgColor rgb="FFFF0000"/>
                </patternFill>
              </fill>
            </x14:dxf>
          </x14:cfRule>
          <x14:cfRule type="expression" priority="1631" id="{D033606C-9184-4524-A0CF-AFF7208C2AE6}">
            <xm:f>BF6&gt;=Benchmark!AD$4</xm:f>
            <x14:dxf>
              <fill>
                <patternFill>
                  <bgColor rgb="FF92D050"/>
                </patternFill>
              </fill>
            </x14:dxf>
          </x14:cfRule>
          <xm:sqref>BF69:BF73 BF61:BF62 BF57 BF42:BF55 BF39 BF34:BF37 BF29:BF30 BF23 BF17:BF21 BF9:BF10 BF6:BF7 BF26:BF27 BF12:BF13</xm:sqref>
        </x14:conditionalFormatting>
        <x14:conditionalFormatting xmlns:xm="http://schemas.microsoft.com/office/excel/2006/main">
          <x14:cfRule type="expression" priority="1612" id="{0964D213-3010-46E1-BDC0-DA66B23F8F79}">
            <xm:f>Q6&gt;Benchmark!$K$4</xm:f>
            <x14:dxf>
              <fill>
                <patternFill>
                  <bgColor rgb="FFFF0000"/>
                </patternFill>
              </fill>
            </x14:dxf>
          </x14:cfRule>
          <x14:cfRule type="expression" priority="1613" id="{52B94B2A-210A-4C8A-B875-EC22C212A000}">
            <xm:f>Q6&lt;Benchmark!$K$4</xm:f>
            <x14:dxf>
              <fill>
                <patternFill>
                  <bgColor rgb="FF92D050"/>
                </patternFill>
              </fill>
            </x14:dxf>
          </x14:cfRule>
          <xm:sqref>Q69:Q73 Q6:Q62</xm:sqref>
        </x14:conditionalFormatting>
        <x14:conditionalFormatting xmlns:xm="http://schemas.microsoft.com/office/excel/2006/main">
          <x14:cfRule type="expression" priority="261" id="{2B828EA4-D1C2-4110-963F-849FCD6B3B6E}">
            <xm:f>V69&lt;Benchmark!$N$4</xm:f>
            <x14:dxf>
              <fill>
                <patternFill>
                  <bgColor rgb="FF92D050"/>
                </patternFill>
              </fill>
            </x14:dxf>
          </x14:cfRule>
          <x14:cfRule type="expression" priority="262" id="{9A25AF3F-4B92-43EA-A230-82BA183FE9E1}">
            <xm:f>V124&gt;Benchmark!$N$4</xm:f>
            <x14:dxf>
              <fill>
                <patternFill>
                  <bgColor rgb="FFFF0000"/>
                </patternFill>
              </fill>
            </x14:dxf>
          </x14:cfRule>
          <xm:sqref>V69:V73</xm:sqref>
        </x14:conditionalFormatting>
        <x14:conditionalFormatting xmlns:xm="http://schemas.microsoft.com/office/excel/2006/main">
          <x14:cfRule type="expression" priority="1642" id="{B85DDCC1-4688-4348-A25B-477D616E687C}">
            <xm:f>V62&lt;Benchmark!$AF$4</xm:f>
            <x14:dxf>
              <fill>
                <patternFill>
                  <bgColor rgb="FF92D050"/>
                </patternFill>
              </fill>
            </x14:dxf>
          </x14:cfRule>
          <x14:cfRule type="expression" priority="1643" id="{DD7E6E88-222B-4914-A62C-8EABC601CE88}">
            <xm:f>V117&gt;Benchmark!$AF$4</xm:f>
            <x14:dxf>
              <fill>
                <patternFill>
                  <bgColor rgb="FFFF0000"/>
                </patternFill>
              </fill>
            </x14:dxf>
          </x14:cfRule>
          <xm:sqref>V62</xm:sqref>
        </x14:conditionalFormatting>
        <x14:conditionalFormatting xmlns:xm="http://schemas.microsoft.com/office/excel/2006/main">
          <x14:cfRule type="expression" priority="1615" id="{3D98F765-6A7E-48BD-944C-CBFC8BA688FE}">
            <xm:f>BI6&gt;=Benchmark!AF$4</xm:f>
            <x14:dxf>
              <fill>
                <patternFill>
                  <bgColor rgb="FF92D050"/>
                </patternFill>
              </fill>
            </x14:dxf>
          </x14:cfRule>
          <xm:sqref>BI69:BI73 BI61:BI62 BI57 BI42:BI55 BI39 BI34:BI37 BI29:BI30 BI26 BI23 BI17:BI21 BI9:BI10 BI6:BI7 BI12:BI13</xm:sqref>
        </x14:conditionalFormatting>
        <x14:conditionalFormatting xmlns:xm="http://schemas.microsoft.com/office/excel/2006/main">
          <x14:cfRule type="expression" priority="1619" id="{CB90D480-22F7-4CBB-A3EC-EE6AE9DC10F9}">
            <xm:f>AN6&gt;=Benchmark!R$4</xm:f>
            <x14:dxf>
              <fill>
                <patternFill>
                  <bgColor rgb="FF92D050"/>
                </patternFill>
              </fill>
            </x14:dxf>
          </x14:cfRule>
          <xm:sqref>AN69:AN73 AN61:AN62 AN57 AN42:AN55 AN39 AN34:AN37 AN29:AN30 AN23 AN17:AN21 AN9:AN10 AN6:AN7 AN26:AN27 AN12:AN13</xm:sqref>
        </x14:conditionalFormatting>
        <x14:conditionalFormatting xmlns:xm="http://schemas.microsoft.com/office/excel/2006/main">
          <x14:cfRule type="expression" priority="1620" id="{D7BC46CF-904D-4512-862B-42761CD12FFA}">
            <xm:f>AQ6&lt;Benchmark!T$4</xm:f>
            <x14:dxf>
              <fill>
                <patternFill>
                  <bgColor rgb="FFFF0000"/>
                </patternFill>
              </fill>
            </x14:dxf>
          </x14:cfRule>
          <x14:cfRule type="expression" priority="1621" id="{71200E9D-8D87-4B2D-A69E-3E8C90E728BC}">
            <xm:f>AQ6&gt;=Benchmark!T$4</xm:f>
            <x14:dxf>
              <fill>
                <patternFill>
                  <bgColor rgb="FF92D050"/>
                </patternFill>
              </fill>
            </x14:dxf>
          </x14:cfRule>
          <xm:sqref>AQ69:AQ73 AQ61:AQ62 AQ57 AQ42:AQ55 AQ39 AQ34:AQ37 AQ29:AQ30 AQ23 AQ17:AQ21 AQ9:AQ10 AQ6:AQ7 AQ26:AQ27 AQ12:AQ13</xm:sqref>
        </x14:conditionalFormatting>
        <x14:conditionalFormatting xmlns:xm="http://schemas.microsoft.com/office/excel/2006/main">
          <x14:cfRule type="expression" priority="1622" id="{AA630D9B-53E9-47BA-9957-25B46F6EAB58}">
            <xm:f>AT6&lt;Benchmark!V$4</xm:f>
            <x14:dxf>
              <fill>
                <patternFill>
                  <bgColor rgb="FFFF0000"/>
                </patternFill>
              </fill>
            </x14:dxf>
          </x14:cfRule>
          <x14:cfRule type="expression" priority="1623" id="{53FF74DD-9B65-4399-9B1B-DB759CF06AC1}">
            <xm:f>AT6&gt;=Benchmark!V$4</xm:f>
            <x14:dxf>
              <fill>
                <patternFill>
                  <bgColor rgb="FF92D050"/>
                </patternFill>
              </fill>
            </x14:dxf>
          </x14:cfRule>
          <xm:sqref>AT69:AT73 AT61:AT62 AT57 AT42:AT55 AT39 AT34:AT37 AT29:AT30 AT23 AT17:AT21 AT9:AT10 AT6:AT7 AT26:AT27 AT12:AT13</xm:sqref>
        </x14:conditionalFormatting>
        <x14:conditionalFormatting xmlns:xm="http://schemas.microsoft.com/office/excel/2006/main">
          <x14:cfRule type="expression" priority="1644" id="{FD7A1B5D-96E7-4251-A080-6D30A699E0A8}">
            <xm:f>V34&lt;Benchmark!$AF$4</xm:f>
            <x14:dxf>
              <fill>
                <patternFill>
                  <bgColor rgb="FF92D050"/>
                </patternFill>
              </fill>
            </x14:dxf>
          </x14:cfRule>
          <x14:cfRule type="expression" priority="1645" id="{EBDA5666-95A8-4C69-B001-C6DEC640FC37}">
            <xm:f>V103&gt;Benchmark!$AF$4</xm:f>
            <x14:dxf>
              <fill>
                <patternFill>
                  <bgColor rgb="FFFF0000"/>
                </patternFill>
              </fill>
            </x14:dxf>
          </x14:cfRule>
          <xm:sqref>V34:V36</xm:sqref>
        </x14:conditionalFormatting>
        <x14:conditionalFormatting xmlns:xm="http://schemas.microsoft.com/office/excel/2006/main">
          <x14:cfRule type="expression" priority="1646" id="{396CF820-2BE8-439A-9BD8-B0317ABF294D}">
            <xm:f>V8&lt;Benchmark!$N$4</xm:f>
            <x14:dxf>
              <fill>
                <patternFill>
                  <bgColor rgb="FF92D050"/>
                </patternFill>
              </fill>
            </x14:dxf>
          </x14:cfRule>
          <x14:cfRule type="expression" priority="1647" id="{645F8694-637E-4401-9465-23ED084A8394}">
            <xm:f>V36&gt;Benchmark!$N$4</xm:f>
            <x14:dxf>
              <fill>
                <patternFill>
                  <bgColor rgb="FFFF0000"/>
                </patternFill>
              </fill>
            </x14:dxf>
          </x14:cfRule>
          <xm:sqref>V8</xm:sqref>
        </x14:conditionalFormatting>
        <x14:conditionalFormatting xmlns:xm="http://schemas.microsoft.com/office/excel/2006/main">
          <x14:cfRule type="expression" priority="1648" id="{590D9E79-A204-44A2-AA6A-B8DCB21D3ED4}">
            <xm:f>V51&lt;Benchmark!$AF$4</xm:f>
            <x14:dxf>
              <fill>
                <patternFill>
                  <bgColor rgb="FF92D050"/>
                </patternFill>
              </fill>
            </x14:dxf>
          </x14:cfRule>
          <x14:cfRule type="expression" priority="1649" id="{864413A4-603E-46C7-820B-8E8262824138}">
            <xm:f>V74&gt;Benchmark!$AF$4</xm:f>
            <x14:dxf>
              <fill>
                <patternFill>
                  <bgColor rgb="FFFF0000"/>
                </patternFill>
              </fill>
            </x14:dxf>
          </x14:cfRule>
          <xm:sqref>V51</xm:sqref>
        </x14:conditionalFormatting>
        <x14:conditionalFormatting xmlns:xm="http://schemas.microsoft.com/office/excel/2006/main">
          <x14:cfRule type="expression" priority="1650" id="{4D741398-C798-432B-BB00-9BD301A39482}">
            <xm:f>V6&lt;Benchmark!$N$4</xm:f>
            <x14:dxf>
              <fill>
                <patternFill>
                  <bgColor rgb="FF92D050"/>
                </patternFill>
              </fill>
            </x14:dxf>
          </x14:cfRule>
          <x14:cfRule type="expression" priority="1651" id="{65E062A3-184E-4C62-89F0-E9D03610AEEB}">
            <xm:f>V62&gt;Benchmark!$N$4</xm:f>
            <x14:dxf>
              <fill>
                <patternFill>
                  <bgColor rgb="FFFF0000"/>
                </patternFill>
              </fill>
            </x14:dxf>
          </x14:cfRule>
          <xm:sqref>V6</xm:sqref>
        </x14:conditionalFormatting>
        <x14:conditionalFormatting xmlns:xm="http://schemas.microsoft.com/office/excel/2006/main">
          <x14:cfRule type="expression" priority="1652" id="{5C89D463-CFFD-4CB2-881D-4F9168519904}">
            <xm:f>V7&lt;Benchmark!$AF$4</xm:f>
            <x14:dxf>
              <fill>
                <patternFill>
                  <bgColor rgb="FF92D050"/>
                </patternFill>
              </fill>
            </x14:dxf>
          </x14:cfRule>
          <x14:cfRule type="expression" priority="1653" id="{2C2DA3A9-63CC-40B9-BFE2-51763AC5F60F}">
            <xm:f>V68&gt;Benchmark!$AF$4</xm:f>
            <x14:dxf>
              <fill>
                <patternFill>
                  <bgColor rgb="FFFF0000"/>
                </patternFill>
              </fill>
            </x14:dxf>
          </x14:cfRule>
          <xm:sqref>V7</xm:sqref>
        </x14:conditionalFormatting>
        <x14:conditionalFormatting xmlns:xm="http://schemas.microsoft.com/office/excel/2006/main">
          <x14:cfRule type="expression" priority="1654" id="{24256B30-E725-4AE3-B5B1-B5507E6B98BB}">
            <xm:f>V9&lt;Benchmark!$N$4</xm:f>
            <x14:dxf>
              <fill>
                <patternFill>
                  <bgColor rgb="FF92D050"/>
                </patternFill>
              </fill>
            </x14:dxf>
          </x14:cfRule>
          <x14:cfRule type="expression" priority="1655" id="{FFBB5E48-7D68-4F6D-B39C-2A9D346F0949}">
            <xm:f>V63&gt;Benchmark!$N$4</xm:f>
            <x14:dxf>
              <fill>
                <patternFill>
                  <bgColor rgb="FFFF0000"/>
                </patternFill>
              </fill>
            </x14:dxf>
          </x14:cfRule>
          <xm:sqref>V9:V15 V20:V33</xm:sqref>
        </x14:conditionalFormatting>
        <x14:conditionalFormatting xmlns:xm="http://schemas.microsoft.com/office/excel/2006/main">
          <x14:cfRule type="expression" priority="1656" id="{7CDB8E6B-754E-466A-9E0A-4F9F4AE3C0FE}">
            <xm:f>V58&lt;Benchmark!$AF$4</xm:f>
            <x14:dxf>
              <fill>
                <patternFill>
                  <bgColor rgb="FF92D050"/>
                </patternFill>
              </fill>
            </x14:dxf>
          </x14:cfRule>
          <x14:cfRule type="expression" priority="1657" id="{58B316A1-BBA7-4C8C-BA2A-9F829A977A6C}">
            <xm:f>V67&gt;Benchmark!$AF$4</xm:f>
            <x14:dxf>
              <fill>
                <patternFill>
                  <bgColor rgb="FFFF0000"/>
                </patternFill>
              </fill>
            </x14:dxf>
          </x14:cfRule>
          <xm:sqref>V58</xm:sqref>
        </x14:conditionalFormatting>
        <x14:conditionalFormatting xmlns:xm="http://schemas.microsoft.com/office/excel/2006/main">
          <x14:cfRule type="expression" priority="1658" id="{4D141614-5A88-4FA2-A961-6C297DBB6775}">
            <xm:f>V9&lt;Benchmark!$AF$4</xm:f>
            <x14:dxf>
              <fill>
                <patternFill>
                  <bgColor rgb="FF92D050"/>
                </patternFill>
              </fill>
            </x14:dxf>
          </x14:cfRule>
          <x14:cfRule type="expression" priority="1659" id="{F5DC9C9E-A262-48B8-A0CC-8C786755B83B}">
            <xm:f>V81&gt;Benchmark!$AF$4</xm:f>
            <x14:dxf>
              <fill>
                <patternFill>
                  <bgColor rgb="FFFF0000"/>
                </patternFill>
              </fill>
            </x14:dxf>
          </x14:cfRule>
          <xm:sqref>V9:V14 V16:V36</xm:sqref>
        </x14:conditionalFormatting>
        <x14:conditionalFormatting xmlns:xm="http://schemas.microsoft.com/office/excel/2006/main">
          <x14:cfRule type="expression" priority="1660" id="{7A60D2B2-DAE0-4716-BDD6-0CFD3A507CCE}">
            <xm:f>V52&lt;Benchmark!$AF$4</xm:f>
            <x14:dxf>
              <fill>
                <patternFill>
                  <bgColor rgb="FF92D050"/>
                </patternFill>
              </fill>
            </x14:dxf>
          </x14:cfRule>
          <x14:cfRule type="expression" priority="1661" id="{41AD9722-6F36-4786-88DA-4BA268900B7C}">
            <xm:f>V79&gt;Benchmark!$AF$4</xm:f>
            <x14:dxf>
              <fill>
                <patternFill>
                  <bgColor rgb="FFFF0000"/>
                </patternFill>
              </fill>
            </x14:dxf>
          </x14:cfRule>
          <xm:sqref>V52:V53</xm:sqref>
        </x14:conditionalFormatting>
        <x14:conditionalFormatting xmlns:xm="http://schemas.microsoft.com/office/excel/2006/main">
          <x14:cfRule type="expression" priority="1662" id="{F9202644-258E-4FE0-8B4E-4A1BBDF514C5}">
            <xm:f>V26&lt;Benchmark!$AF$4</xm:f>
            <x14:dxf>
              <fill>
                <patternFill>
                  <bgColor rgb="FF92D050"/>
                </patternFill>
              </fill>
            </x14:dxf>
          </x14:cfRule>
          <x14:cfRule type="expression" priority="1663" id="{138BF85D-3203-4DF7-9B79-61ECF155FBA6}">
            <xm:f>V83&gt;Benchmark!$AF$4</xm:f>
            <x14:dxf>
              <fill>
                <patternFill>
                  <bgColor rgb="FFFF0000"/>
                </patternFill>
              </fill>
            </x14:dxf>
          </x14:cfRule>
          <xm:sqref>V26 V34:V36</xm:sqref>
        </x14:conditionalFormatting>
        <x14:conditionalFormatting xmlns:xm="http://schemas.microsoft.com/office/excel/2006/main">
          <x14:cfRule type="expression" priority="1664" id="{8851BE82-EC26-4BD0-B3B8-C28F17139B55}">
            <xm:f>V34&lt;Benchmark!$AF$4</xm:f>
            <x14:dxf>
              <fill>
                <patternFill>
                  <bgColor rgb="FF92D050"/>
                </patternFill>
              </fill>
            </x14:dxf>
          </x14:cfRule>
          <x14:cfRule type="expression" priority="1665" id="{E70B5AA8-6F00-4281-8F5B-3A1213CBC50A}">
            <xm:f>V109&gt;Benchmark!$AF$4</xm:f>
            <x14:dxf>
              <fill>
                <patternFill>
                  <bgColor rgb="FFFF0000"/>
                </patternFill>
              </fill>
            </x14:dxf>
          </x14:cfRule>
          <xm:sqref>V34:V36</xm:sqref>
        </x14:conditionalFormatting>
        <x14:conditionalFormatting xmlns:xm="http://schemas.microsoft.com/office/excel/2006/main">
          <x14:cfRule type="expression" priority="1666" id="{6DB96004-55BB-4809-A711-806F31EFB589}">
            <xm:f>V40&lt;Benchmark!$AF$4</xm:f>
            <x14:dxf>
              <fill>
                <patternFill>
                  <bgColor rgb="FF92D050"/>
                </patternFill>
              </fill>
            </x14:dxf>
          </x14:cfRule>
          <x14:cfRule type="expression" priority="1667" id="{B405C828-907D-4576-9231-0B91F4703734}">
            <xm:f>V86&gt;Benchmark!$AF$4</xm:f>
            <x14:dxf>
              <fill>
                <patternFill>
                  <bgColor rgb="FFFF0000"/>
                </patternFill>
              </fill>
            </x14:dxf>
          </x14:cfRule>
          <xm:sqref>V40:V48</xm:sqref>
        </x14:conditionalFormatting>
        <x14:conditionalFormatting xmlns:xm="http://schemas.microsoft.com/office/excel/2006/main">
          <x14:cfRule type="expression" priority="1668" id="{3D41F4AC-7C4B-4494-9466-061CD44A45FE}">
            <xm:f>V12&lt;Benchmark!$AF$4</xm:f>
            <x14:dxf>
              <fill>
                <patternFill>
                  <bgColor rgb="FF92D050"/>
                </patternFill>
              </fill>
            </x14:dxf>
          </x14:cfRule>
          <x14:cfRule type="expression" priority="1669" id="{3797A181-DB4A-4230-A8C3-BFFB34B2569D}">
            <xm:f>V88&gt;Benchmark!$AF$4</xm:f>
            <x14:dxf>
              <fill>
                <patternFill>
                  <bgColor rgb="FFFF0000"/>
                </patternFill>
              </fill>
            </x14:dxf>
          </x14:cfRule>
          <xm:sqref>V12:V36</xm:sqref>
        </x14:conditionalFormatting>
        <x14:conditionalFormatting xmlns:xm="http://schemas.microsoft.com/office/excel/2006/main">
          <x14:cfRule type="expression" priority="1670" id="{EDC158D9-6424-41DB-B30C-13399457B260}">
            <xm:f>V44&lt;Benchmark!$AF$4</xm:f>
            <x14:dxf>
              <fill>
                <patternFill>
                  <bgColor rgb="FF92D050"/>
                </patternFill>
              </fill>
            </x14:dxf>
          </x14:cfRule>
          <x14:cfRule type="expression" priority="1671" id="{15B553D9-BADE-44A4-8316-51EDD6287E60}">
            <xm:f>V90&gt;Benchmark!$AF$4</xm:f>
            <x14:dxf>
              <fill>
                <patternFill>
                  <bgColor rgb="FFFF0000"/>
                </patternFill>
              </fill>
            </x14:dxf>
          </x14:cfRule>
          <xm:sqref>V44</xm:sqref>
        </x14:conditionalFormatting>
        <x14:conditionalFormatting xmlns:xm="http://schemas.microsoft.com/office/excel/2006/main">
          <x14:cfRule type="expression" priority="1672" id="{8A8475F0-AAF8-43E8-B305-F58CBD5B712D}">
            <xm:f>V34&lt;Benchmark!$AF$4</xm:f>
            <x14:dxf>
              <fill>
                <patternFill>
                  <bgColor rgb="FF92D050"/>
                </patternFill>
              </fill>
            </x14:dxf>
          </x14:cfRule>
          <x14:cfRule type="expression" priority="1673" id="{BFB24382-412D-42AE-AE3D-33C794CFB1A4}">
            <xm:f>V115&gt;Benchmark!$AF$4</xm:f>
            <x14:dxf>
              <fill>
                <patternFill>
                  <bgColor rgb="FFFF0000"/>
                </patternFill>
              </fill>
            </x14:dxf>
          </x14:cfRule>
          <xm:sqref>V34:V36</xm:sqref>
        </x14:conditionalFormatting>
        <x14:conditionalFormatting xmlns:xm="http://schemas.microsoft.com/office/excel/2006/main">
          <x14:cfRule type="expression" priority="1674" id="{094B94DF-25FB-4CB6-851B-E39ADC96C8BE}">
            <xm:f>V43&lt;Benchmark!$AF$4</xm:f>
            <x14:dxf>
              <fill>
                <patternFill>
                  <bgColor rgb="FF92D050"/>
                </patternFill>
              </fill>
            </x14:dxf>
          </x14:cfRule>
          <x14:cfRule type="expression" priority="1675" id="{F67710EE-85D0-4631-A6F9-51D015F41A20}">
            <xm:f>V96&gt;Benchmark!$AF$4</xm:f>
            <x14:dxf>
              <fill>
                <patternFill>
                  <bgColor rgb="FFFF0000"/>
                </patternFill>
              </fill>
            </x14:dxf>
          </x14:cfRule>
          <xm:sqref>V43:V48</xm:sqref>
        </x14:conditionalFormatting>
        <x14:conditionalFormatting xmlns:xm="http://schemas.microsoft.com/office/excel/2006/main">
          <x14:cfRule type="expression" priority="1676" id="{AA7B92CB-258D-4EAF-B301-6B24DC20AA5D}">
            <xm:f>V34&lt;Benchmark!$AF$4</xm:f>
            <x14:dxf>
              <fill>
                <patternFill>
                  <bgColor rgb="FF92D050"/>
                </patternFill>
              </fill>
            </x14:dxf>
          </x14:cfRule>
          <x14:cfRule type="expression" priority="1677" id="{1E5E1350-0650-4512-9622-D68C34286979}">
            <xm:f>V118&gt;Benchmark!$AF$4</xm:f>
            <x14:dxf>
              <fill>
                <patternFill>
                  <bgColor rgb="FFFF0000"/>
                </patternFill>
              </fill>
            </x14:dxf>
          </x14:cfRule>
          <xm:sqref>V34:V36</xm:sqref>
        </x14:conditionalFormatting>
        <x14:conditionalFormatting xmlns:xm="http://schemas.microsoft.com/office/excel/2006/main">
          <x14:cfRule type="expression" priority="1678" id="{D8C7B709-0A23-4A0C-8000-59CE4E7BAC98}">
            <xm:f>V55&lt;Benchmark!$AF$4</xm:f>
            <x14:dxf>
              <fill>
                <patternFill>
                  <bgColor rgb="FF92D050"/>
                </patternFill>
              </fill>
            </x14:dxf>
          </x14:cfRule>
          <x14:cfRule type="expression" priority="1679" id="{F176AE2F-A2CF-44FA-90AA-EA6B422644F3}">
            <xm:f>V100&gt;Benchmark!$AF$4</xm:f>
            <x14:dxf>
              <fill>
                <patternFill>
                  <bgColor rgb="FFFF0000"/>
                </patternFill>
              </fill>
            </x14:dxf>
          </x14:cfRule>
          <xm:sqref>V55</xm:sqref>
        </x14:conditionalFormatting>
        <x14:conditionalFormatting xmlns:xm="http://schemas.microsoft.com/office/excel/2006/main">
          <x14:cfRule type="expression" priority="1680" id="{CBA8A29A-263E-40EC-BE5B-9A5AE744DC86}">
            <xm:f>V34&lt;Benchmark!$AF$4</xm:f>
            <x14:dxf>
              <fill>
                <patternFill>
                  <bgColor rgb="FF92D050"/>
                </patternFill>
              </fill>
            </x14:dxf>
          </x14:cfRule>
          <x14:cfRule type="expression" priority="1681" id="{6E696B1E-4DD9-4798-B1B3-30E45CC8FF99}">
            <xm:f>V130&gt;Benchmark!$AF$4</xm:f>
            <x14:dxf>
              <fill>
                <patternFill>
                  <bgColor rgb="FFFF0000"/>
                </patternFill>
              </fill>
            </x14:dxf>
          </x14:cfRule>
          <xm:sqref>V34:V36</xm:sqref>
        </x14:conditionalFormatting>
        <x14:conditionalFormatting xmlns:xm="http://schemas.microsoft.com/office/excel/2006/main">
          <x14:cfRule type="expression" priority="1682" id="{893360D1-CC64-4CDC-A59C-15F7A1F6703A}">
            <xm:f>V42&lt;Benchmark!$AF$4</xm:f>
            <x14:dxf>
              <fill>
                <patternFill>
                  <bgColor rgb="FF92D050"/>
                </patternFill>
              </fill>
            </x14:dxf>
          </x14:cfRule>
          <x14:cfRule type="expression" priority="1683" id="{B5CF9A3E-85A5-49A6-BEBD-16BE58434587}">
            <xm:f>V94&gt;Benchmark!$AF$4</xm:f>
            <x14:dxf>
              <fill>
                <patternFill>
                  <bgColor rgb="FFFF0000"/>
                </patternFill>
              </fill>
            </x14:dxf>
          </x14:cfRule>
          <xm:sqref>V42</xm:sqref>
        </x14:conditionalFormatting>
        <x14:conditionalFormatting xmlns:xm="http://schemas.microsoft.com/office/excel/2006/main">
          <x14:cfRule type="expression" priority="1684" id="{9DD84320-3111-4D63-9AEB-DCFFE0B9F9B5}">
            <xm:f>V54&lt;Benchmark!$AF$4</xm:f>
            <x14:dxf>
              <fill>
                <patternFill>
                  <bgColor rgb="FF92D050"/>
                </patternFill>
              </fill>
            </x14:dxf>
          </x14:cfRule>
          <x14:cfRule type="expression" priority="1685" id="{05598A31-D1AB-4313-ADE4-E8B235DDD13B}">
            <xm:f>V93&gt;Benchmark!$AF$4</xm:f>
            <x14:dxf>
              <fill>
                <patternFill>
                  <bgColor rgb="FFFF0000"/>
                </patternFill>
              </fill>
            </x14:dxf>
          </x14:cfRule>
          <xm:sqref>V54</xm:sqref>
        </x14:conditionalFormatting>
        <x14:conditionalFormatting xmlns:xm="http://schemas.microsoft.com/office/excel/2006/main">
          <x14:cfRule type="expression" priority="1686" id="{8CC9AEBF-9829-45AF-8CC0-C98923A90152}">
            <xm:f>V34&lt;Benchmark!$N$4</xm:f>
            <x14:dxf>
              <fill>
                <patternFill>
                  <bgColor rgb="FF92D050"/>
                </patternFill>
              </fill>
            </x14:dxf>
          </x14:cfRule>
          <x14:cfRule type="expression" priority="1687" id="{58A9BD55-F9E7-495D-B7F4-D13B716BB808}">
            <xm:f>V76&gt;Benchmark!$N$4</xm:f>
            <x14:dxf>
              <fill>
                <patternFill>
                  <bgColor rgb="FFFF0000"/>
                </patternFill>
              </fill>
            </x14:dxf>
          </x14:cfRule>
          <xm:sqref>V34:V36</xm:sqref>
        </x14:conditionalFormatting>
        <x14:conditionalFormatting xmlns:xm="http://schemas.microsoft.com/office/excel/2006/main">
          <x14:cfRule type="expression" priority="1689" id="{F39B71AF-72F3-4920-B0E0-20603E2ED103}">
            <xm:f>V34&lt;Benchmark!$AF$4</xm:f>
            <x14:dxf>
              <fill>
                <patternFill>
                  <bgColor rgb="FF92D050"/>
                </patternFill>
              </fill>
            </x14:dxf>
          </x14:cfRule>
          <x14:cfRule type="expression" priority="1690" id="{53B134F5-5350-468C-A57E-2AFEBBFF46CE}">
            <xm:f>V81&gt;Benchmark!$AF$4</xm:f>
            <x14:dxf>
              <fill>
                <patternFill>
                  <bgColor rgb="FFFF0000"/>
                </patternFill>
              </fill>
            </x14:dxf>
          </x14:cfRule>
          <xm:sqref>V34:V36 V45:V48</xm:sqref>
        </x14:conditionalFormatting>
        <x14:conditionalFormatting xmlns:xm="http://schemas.microsoft.com/office/excel/2006/main">
          <x14:cfRule type="expression" priority="1691" id="{901412BA-9E72-4909-BE81-1CA594D2185F}">
            <xm:f>V59&lt;Benchmark!$AF$4</xm:f>
            <x14:dxf>
              <fill>
                <patternFill>
                  <bgColor rgb="FF92D050"/>
                </patternFill>
              </fill>
            </x14:dxf>
          </x14:cfRule>
          <x14:cfRule type="expression" priority="1692" id="{B3FCF2B0-E208-4D39-864A-E1E4F03FF37A}">
            <xm:f>V70&gt;Benchmark!$AF$4</xm:f>
            <x14:dxf>
              <fill>
                <patternFill>
                  <bgColor rgb="FFFF0000"/>
                </patternFill>
              </fill>
            </x14:dxf>
          </x14:cfRule>
          <xm:sqref>V59</xm:sqref>
        </x14:conditionalFormatting>
        <x14:conditionalFormatting xmlns:xm="http://schemas.microsoft.com/office/excel/2006/main">
          <x14:cfRule type="expression" priority="1693" id="{CE69B828-87BF-4BA4-A897-4CC38ECCFD93}">
            <xm:f>V60&lt;Benchmark!$AF$4</xm:f>
            <x14:dxf>
              <fill>
                <patternFill>
                  <bgColor rgb="FF92D050"/>
                </patternFill>
              </fill>
            </x14:dxf>
          </x14:cfRule>
          <x14:cfRule type="expression" priority="1694" id="{7BD7D52F-D5D4-4E8E-96C0-57FDC9E7EE7D}">
            <xm:f>V109&gt;Benchmark!$AF$4</xm:f>
            <x14:dxf>
              <fill>
                <patternFill>
                  <bgColor rgb="FFFF0000"/>
                </patternFill>
              </fill>
            </x14:dxf>
          </x14:cfRule>
          <xm:sqref>V60:V61</xm:sqref>
        </x14:conditionalFormatting>
        <x14:conditionalFormatting xmlns:xm="http://schemas.microsoft.com/office/excel/2006/main">
          <x14:cfRule type="expression" priority="1695" id="{7060DE85-31D3-45BF-B152-40024FEE54DC}">
            <xm:f>V8&lt;Benchmark!$AF$4</xm:f>
            <x14:dxf>
              <fill>
                <patternFill>
                  <bgColor rgb="FF92D050"/>
                </patternFill>
              </fill>
            </x14:dxf>
          </x14:cfRule>
          <x14:cfRule type="expression" priority="1696" id="{C45ED114-8559-437B-9F17-59ECB846ED8B}">
            <xm:f>V78&gt;Benchmark!$AF$4</xm:f>
            <x14:dxf>
              <fill>
                <patternFill>
                  <bgColor rgb="FFFF0000"/>
                </patternFill>
              </fill>
            </x14:dxf>
          </x14:cfRule>
          <xm:sqref>V8:V15 V20:V33</xm:sqref>
        </x14:conditionalFormatting>
        <x14:conditionalFormatting xmlns:xm="http://schemas.microsoft.com/office/excel/2006/main">
          <x14:cfRule type="expression" priority="1697" id="{2BAEB8A3-E29D-40ED-8AAC-2EF4DDD8070B}">
            <xm:f>V11&lt;Benchmark!$AF$4</xm:f>
            <x14:dxf>
              <fill>
                <patternFill>
                  <bgColor rgb="FF92D050"/>
                </patternFill>
              </fill>
            </x14:dxf>
          </x14:cfRule>
          <x14:cfRule type="expression" priority="1698" id="{5315BC0F-CB45-4EAE-9728-9596C3EA2164}">
            <xm:f>V84&gt;Benchmark!$AF$4</xm:f>
            <x14:dxf>
              <fill>
                <patternFill>
                  <bgColor rgb="FFFF0000"/>
                </patternFill>
              </fill>
            </x14:dxf>
          </x14:cfRule>
          <xm:sqref>V11:V15 V20:V36</xm:sqref>
        </x14:conditionalFormatting>
        <x14:conditionalFormatting xmlns:xm="http://schemas.microsoft.com/office/excel/2006/main">
          <x14:cfRule type="expression" priority="1699" id="{AAA77781-3CD0-49FD-ADAA-E5B5696E953C}">
            <xm:f>V14&lt;Benchmark!$AF$4</xm:f>
            <x14:dxf>
              <fill>
                <patternFill>
                  <bgColor rgb="FF92D050"/>
                </patternFill>
              </fill>
            </x14:dxf>
          </x14:cfRule>
          <x14:cfRule type="expression" priority="1700" id="{842C4E29-A319-4912-B8B5-37B6F86724A7}">
            <xm:f>V91&gt;Benchmark!$AF$4</xm:f>
            <x14:dxf>
              <fill>
                <patternFill>
                  <bgColor rgb="FFFF0000"/>
                </patternFill>
              </fill>
            </x14:dxf>
          </x14:cfRule>
          <xm:sqref>V14:V15 V20:V33</xm:sqref>
        </x14:conditionalFormatting>
        <x14:conditionalFormatting xmlns:xm="http://schemas.microsoft.com/office/excel/2006/main">
          <x14:cfRule type="expression" priority="1701" id="{B9E5C063-E902-442B-83FC-ACCE720BB1FA}">
            <xm:f>V15&lt;Benchmark!$AF$4</xm:f>
            <x14:dxf>
              <fill>
                <patternFill>
                  <bgColor rgb="FF92D050"/>
                </patternFill>
              </fill>
            </x14:dxf>
          </x14:cfRule>
          <x14:cfRule type="expression" priority="1702" id="{48089606-4FEE-47B4-84D4-727F3E7C0B4E}">
            <xm:f>V89&gt;Benchmark!$AF$4</xm:f>
            <x14:dxf>
              <fill>
                <patternFill>
                  <bgColor rgb="FFFF0000"/>
                </patternFill>
              </fill>
            </x14:dxf>
          </x14:cfRule>
          <xm:sqref>V15 V30:V33</xm:sqref>
        </x14:conditionalFormatting>
        <x14:conditionalFormatting xmlns:xm="http://schemas.microsoft.com/office/excel/2006/main">
          <x14:cfRule type="expression" priority="1703" id="{83627021-71E8-434D-B34E-9A90E97D6F66}">
            <xm:f>V15&lt;Benchmark!$N$4</xm:f>
            <x14:dxf>
              <fill>
                <patternFill>
                  <bgColor rgb="FF92D050"/>
                </patternFill>
              </fill>
            </x14:dxf>
          </x14:cfRule>
          <x14:cfRule type="expression" priority="1704" id="{33FDF19F-FB68-469A-A5CC-1A27F1A04A4B}">
            <xm:f>V73&gt;Benchmark!$N$4</xm:f>
            <x14:dxf>
              <fill>
                <patternFill>
                  <bgColor rgb="FFFF0000"/>
                </patternFill>
              </fill>
            </x14:dxf>
          </x14:cfRule>
          <xm:sqref>V15</xm:sqref>
        </x14:conditionalFormatting>
        <x14:conditionalFormatting xmlns:xm="http://schemas.microsoft.com/office/excel/2006/main">
          <x14:cfRule type="expression" priority="1705" id="{A5AD55DB-9402-4930-B6D1-D23A5A628853}">
            <xm:f>V33&lt;Benchmark!$AF$4</xm:f>
            <x14:dxf>
              <fill>
                <patternFill>
                  <bgColor rgb="FF92D050"/>
                </patternFill>
              </fill>
            </x14:dxf>
          </x14:cfRule>
          <x14:cfRule type="expression" priority="1706" id="{49575CB4-2539-4050-B19A-DB344C2F054F}">
            <xm:f>V112&gt;Benchmark!$AF$4</xm:f>
            <x14:dxf>
              <fill>
                <patternFill>
                  <bgColor rgb="FFFF0000"/>
                </patternFill>
              </fill>
            </x14:dxf>
          </x14:cfRule>
          <xm:sqref>V33:V36</xm:sqref>
        </x14:conditionalFormatting>
        <x14:conditionalFormatting xmlns:xm="http://schemas.microsoft.com/office/excel/2006/main">
          <x14:cfRule type="expression" priority="1707" id="{E0F7474E-5073-4B74-89A1-E8ED8EECBF41}">
            <xm:f>V15&lt;Benchmark!$AF$4</xm:f>
            <x14:dxf>
              <fill>
                <patternFill>
                  <bgColor rgb="FF92D050"/>
                </patternFill>
              </fill>
            </x14:dxf>
          </x14:cfRule>
          <x14:cfRule type="expression" priority="1708" id="{B90F0951-9756-4D6B-92D5-C6034F21996B}">
            <xm:f>V101&gt;Benchmark!$AF$4</xm:f>
            <x14:dxf>
              <fill>
                <patternFill>
                  <bgColor rgb="FFFF0000"/>
                </patternFill>
              </fill>
            </x14:dxf>
          </x14:cfRule>
          <xm:sqref>V15</xm:sqref>
        </x14:conditionalFormatting>
        <x14:conditionalFormatting xmlns:xm="http://schemas.microsoft.com/office/excel/2006/main">
          <x14:cfRule type="expression" priority="1709" id="{08978D70-B292-4B88-BB6B-F34CC786404E}">
            <xm:f>V15&lt;Benchmark!$AF$4</xm:f>
            <x14:dxf>
              <fill>
                <patternFill>
                  <bgColor rgb="FF92D050"/>
                </patternFill>
              </fill>
            </x14:dxf>
          </x14:cfRule>
          <x14:cfRule type="expression" priority="1710" id="{562A0FBF-7656-407A-89D1-A6A387BE3D3D}">
            <xm:f>V104&gt;Benchmark!$AF$4</xm:f>
            <x14:dxf>
              <fill>
                <patternFill>
                  <bgColor rgb="FFFF0000"/>
                </patternFill>
              </fill>
            </x14:dxf>
          </x14:cfRule>
          <xm:sqref>V15</xm:sqref>
        </x14:conditionalFormatting>
        <x14:conditionalFormatting xmlns:xm="http://schemas.microsoft.com/office/excel/2006/main">
          <x14:cfRule type="expression" priority="1711" id="{92EDE08F-4923-4C13-97E7-D1DA41612938}">
            <xm:f>V15&lt;Benchmark!$AF$4</xm:f>
            <x14:dxf>
              <fill>
                <patternFill>
                  <bgColor rgb="FF92D050"/>
                </patternFill>
              </fill>
            </x14:dxf>
          </x14:cfRule>
          <x14:cfRule type="expression" priority="1712" id="{E403A2BD-6974-4AA2-A409-BA4FF49575A7}">
            <xm:f>V116&gt;Benchmark!$AF$4</xm:f>
            <x14:dxf>
              <fill>
                <patternFill>
                  <bgColor rgb="FFFF0000"/>
                </patternFill>
              </fill>
            </x14:dxf>
          </x14:cfRule>
          <xm:sqref>V15</xm:sqref>
        </x14:conditionalFormatting>
        <x14:conditionalFormatting xmlns:xm="http://schemas.microsoft.com/office/excel/2006/main">
          <x14:cfRule type="expression" priority="1714" id="{A047F207-F145-4B04-9D46-1C3CCBF80307}">
            <xm:f>V16&lt;Benchmark!$AF$4</xm:f>
            <x14:dxf>
              <fill>
                <patternFill>
                  <bgColor rgb="FF92D050"/>
                </patternFill>
              </fill>
            </x14:dxf>
          </x14:cfRule>
          <x14:cfRule type="expression" priority="1715" id="{059FEA13-073E-44C8-AFA0-CA95B3838CE7}">
            <xm:f>V85&gt;Benchmark!$AF$4</xm:f>
            <x14:dxf>
              <fill>
                <patternFill>
                  <bgColor rgb="FFFF0000"/>
                </patternFill>
              </fill>
            </x14:dxf>
          </x14:cfRule>
          <xm:sqref>V16:V19</xm:sqref>
        </x14:conditionalFormatting>
        <x14:conditionalFormatting xmlns:xm="http://schemas.microsoft.com/office/excel/2006/main">
          <x14:cfRule type="expression" priority="1716" id="{A793EB41-421F-4C9B-A842-2B3F8CE454F4}">
            <xm:f>V16&lt;Benchmark!$N$4</xm:f>
            <x14:dxf>
              <fill>
                <patternFill>
                  <bgColor rgb="FF92D050"/>
                </patternFill>
              </fill>
            </x14:dxf>
          </x14:cfRule>
          <x14:cfRule type="expression" priority="1717" id="{ABF8B3AB-1D98-4020-AE5B-EAAB5623C9EC}">
            <xm:f>V69&gt;Benchmark!$N$4</xm:f>
            <x14:dxf>
              <fill>
                <patternFill>
                  <bgColor rgb="FFFF0000"/>
                </patternFill>
              </fill>
            </x14:dxf>
          </x14:cfRule>
          <xm:sqref>V16:V19 V34:V36</xm:sqref>
        </x14:conditionalFormatting>
        <x14:conditionalFormatting xmlns:xm="http://schemas.microsoft.com/office/excel/2006/main">
          <x14:cfRule type="expression" priority="1718" id="{F8C1A6D7-26F8-4186-989C-B6EC2D0C5FF7}">
            <xm:f>V16&lt;Benchmark!$AF$4</xm:f>
            <x14:dxf>
              <fill>
                <patternFill>
                  <bgColor rgb="FF92D050"/>
                </patternFill>
              </fill>
            </x14:dxf>
          </x14:cfRule>
          <x14:cfRule type="expression" priority="1719" id="{F140AAC5-051A-4D86-8CD6-1BD2AAE52AB2}">
            <xm:f>V87&gt;Benchmark!$AF$4</xm:f>
            <x14:dxf>
              <fill>
                <patternFill>
                  <bgColor rgb="FFFF0000"/>
                </patternFill>
              </fill>
            </x14:dxf>
          </x14:cfRule>
          <xm:sqref>V16:V19 V34:V36</xm:sqref>
        </x14:conditionalFormatting>
        <x14:conditionalFormatting xmlns:xm="http://schemas.microsoft.com/office/excel/2006/main">
          <x14:cfRule type="expression" priority="1720" id="{C247D5F0-395D-40AC-9DAA-757481ABD992}">
            <xm:f>V16&lt;Benchmark!$AF$4</xm:f>
            <x14:dxf>
              <fill>
                <patternFill>
                  <bgColor rgb="FF92D050"/>
                </patternFill>
              </fill>
            </x14:dxf>
          </x14:cfRule>
          <x14:cfRule type="expression" priority="1721" id="{55F2D4FD-9CDF-4CE3-899F-3EF8149E3694}">
            <xm:f>V91&gt;Benchmark!$AF$4</xm:f>
            <x14:dxf>
              <fill>
                <patternFill>
                  <bgColor rgb="FFFF0000"/>
                </patternFill>
              </fill>
            </x14:dxf>
          </x14:cfRule>
          <xm:sqref>V16:V19</xm:sqref>
        </x14:conditionalFormatting>
        <x14:conditionalFormatting xmlns:xm="http://schemas.microsoft.com/office/excel/2006/main">
          <x14:cfRule type="expression" priority="1722" id="{17DA609E-BDAA-40ED-A4C3-87E11E04F07D}">
            <xm:f>V15&lt;Benchmark!$AF$4</xm:f>
            <x14:dxf>
              <fill>
                <patternFill>
                  <bgColor rgb="FF92D050"/>
                </patternFill>
              </fill>
            </x14:dxf>
          </x14:cfRule>
          <x14:cfRule type="expression" priority="1723" id="{CA902CEA-FE38-4660-BE5C-3621D6492F06}">
            <xm:f>V96&gt;Benchmark!$AF$4</xm:f>
            <x14:dxf>
              <fill>
                <patternFill>
                  <bgColor rgb="FFFF0000"/>
                </patternFill>
              </fill>
            </x14:dxf>
          </x14:cfRule>
          <xm:sqref>V15:V19</xm:sqref>
        </x14:conditionalFormatting>
        <x14:conditionalFormatting xmlns:xm="http://schemas.microsoft.com/office/excel/2006/main">
          <x14:cfRule type="expression" priority="1724" id="{84184ED3-9BFA-451E-8D85-904B53860595}">
            <xm:f>V18&lt;Benchmark!$AF$4</xm:f>
            <x14:dxf>
              <fill>
                <patternFill>
                  <bgColor rgb="FF92D050"/>
                </patternFill>
              </fill>
            </x14:dxf>
          </x14:cfRule>
          <x14:cfRule type="expression" priority="1725" id="{EE5C715C-1A27-43A6-98C3-131CF0DCD69F}">
            <xm:f>V102&gt;Benchmark!$AF$4</xm:f>
            <x14:dxf>
              <fill>
                <patternFill>
                  <bgColor rgb="FFFF0000"/>
                </patternFill>
              </fill>
            </x14:dxf>
          </x14:cfRule>
          <xm:sqref>V18:V19</xm:sqref>
        </x14:conditionalFormatting>
        <x14:conditionalFormatting xmlns:xm="http://schemas.microsoft.com/office/excel/2006/main">
          <x14:cfRule type="expression" priority="1726" id="{4C1F4C4E-869E-4849-8D73-D852C91B0C03}">
            <xm:f>V19&lt;Benchmark!$AF$4</xm:f>
            <x14:dxf>
              <fill>
                <patternFill>
                  <bgColor rgb="FF92D050"/>
                </patternFill>
              </fill>
            </x14:dxf>
          </x14:cfRule>
          <x14:cfRule type="expression" priority="1727" id="{87685A79-05ED-4639-B06F-244E99BCC7C3}">
            <xm:f>V115&gt;Benchmark!$AF$4</xm:f>
            <x14:dxf>
              <fill>
                <patternFill>
                  <bgColor rgb="FFFF0000"/>
                </patternFill>
              </fill>
            </x14:dxf>
          </x14:cfRule>
          <xm:sqref>V19</xm:sqref>
        </x14:conditionalFormatting>
        <x14:conditionalFormatting xmlns:xm="http://schemas.microsoft.com/office/excel/2006/main">
          <x14:cfRule type="expression" priority="1728" id="{D24EE027-3BE2-4422-AD77-C28B4EB0058C}">
            <xm:f>V56&lt;Benchmark!$AF$4</xm:f>
            <x14:dxf>
              <fill>
                <patternFill>
                  <bgColor rgb="FF92D050"/>
                </patternFill>
              </fill>
            </x14:dxf>
          </x14:cfRule>
          <x14:cfRule type="expression" priority="1729" id="{ED60D9BB-76F4-4976-BAA7-F96844976B80}">
            <xm:f>V103&gt;Benchmark!$AF$4</xm:f>
            <x14:dxf>
              <fill>
                <patternFill>
                  <bgColor rgb="FFFF0000"/>
                </patternFill>
              </fill>
            </x14:dxf>
          </x14:cfRule>
          <xm:sqref>V56:V57</xm:sqref>
        </x14:conditionalFormatting>
        <x14:conditionalFormatting xmlns:xm="http://schemas.microsoft.com/office/excel/2006/main">
          <x14:cfRule type="expression" priority="1730" id="{5D74AC48-FF73-4CFF-A22B-02D1766E52EB}">
            <xm:f>V46&lt;Benchmark!$AF$4</xm:f>
            <x14:dxf>
              <fill>
                <patternFill>
                  <bgColor rgb="FF92D050"/>
                </patternFill>
              </fill>
            </x14:dxf>
          </x14:cfRule>
          <x14:cfRule type="expression" priority="1731" id="{464EE75D-216B-4459-A86E-89EA68BCDFB8}">
            <xm:f>V106&gt;Benchmark!$AF$4</xm:f>
            <x14:dxf>
              <fill>
                <patternFill>
                  <bgColor rgb="FFFF0000"/>
                </patternFill>
              </fill>
            </x14:dxf>
          </x14:cfRule>
          <xm:sqref>V46:V48</xm:sqref>
        </x14:conditionalFormatting>
        <x14:conditionalFormatting xmlns:xm="http://schemas.microsoft.com/office/excel/2006/main">
          <x14:cfRule type="expression" priority="1732" id="{CD970E02-BA61-4423-9613-5275BF1D21F4}">
            <xm:f>V20&lt;Benchmark!$AF$4</xm:f>
            <x14:dxf>
              <fill>
                <patternFill>
                  <bgColor rgb="FF92D050"/>
                </patternFill>
              </fill>
            </x14:dxf>
          </x14:cfRule>
          <x14:cfRule type="expression" priority="1733" id="{A522ED9C-13D5-4493-B5C5-F070D24061E1}">
            <xm:f>V102&gt;Benchmark!$AF$4</xm:f>
            <x14:dxf>
              <fill>
                <patternFill>
                  <bgColor rgb="FFFF0000"/>
                </patternFill>
              </fill>
            </x14:dxf>
          </x14:cfRule>
          <xm:sqref>V36 V20:V33</xm:sqref>
        </x14:conditionalFormatting>
        <x14:conditionalFormatting xmlns:xm="http://schemas.microsoft.com/office/excel/2006/main">
          <x14:cfRule type="expression" priority="1734" id="{6923C0E9-FD32-4BCB-B94C-9641C67180A5}">
            <xm:f>V37&lt;Benchmark!$N$4</xm:f>
            <x14:dxf>
              <fill>
                <patternFill>
                  <bgColor rgb="FF92D050"/>
                </patternFill>
              </fill>
            </x14:dxf>
          </x14:cfRule>
          <x14:cfRule type="expression" priority="1735" id="{10C3D20F-8A03-4545-8E56-490811114F52}">
            <xm:f>V36&gt;Benchmark!$N$4</xm:f>
            <x14:dxf>
              <fill>
                <patternFill>
                  <bgColor rgb="FFFF0000"/>
                </patternFill>
              </fill>
            </x14:dxf>
          </x14:cfRule>
          <xm:sqref>V37</xm:sqref>
        </x14:conditionalFormatting>
        <x14:conditionalFormatting xmlns:xm="http://schemas.microsoft.com/office/excel/2006/main">
          <x14:cfRule type="expression" priority="1736" id="{2C514F00-EDC0-4ADF-80D4-59A0418AF887}">
            <xm:f>V7&lt;Benchmark!$N$4</xm:f>
            <x14:dxf>
              <fill>
                <patternFill>
                  <bgColor rgb="FF92D050"/>
                </patternFill>
              </fill>
            </x14:dxf>
          </x14:cfRule>
          <x14:cfRule type="expression" priority="1737" id="{80544B22-2F2F-427C-8EE3-1429A9EFA57C}">
            <xm:f>V36&gt;Benchmark!$N$4</xm:f>
            <x14:dxf>
              <fill>
                <patternFill>
                  <bgColor rgb="FFFF0000"/>
                </patternFill>
              </fill>
            </x14:dxf>
          </x14:cfRule>
          <xm:sqref>V7</xm:sqref>
        </x14:conditionalFormatting>
        <x14:conditionalFormatting xmlns:xm="http://schemas.microsoft.com/office/excel/2006/main">
          <x14:cfRule type="expression" priority="1738" id="{ED2E9926-B8A9-49CF-ACCE-8D40C5428657}">
            <xm:f>V20&lt;Benchmark!$AF$4</xm:f>
            <x14:dxf>
              <fill>
                <patternFill>
                  <bgColor rgb="FF92D050"/>
                </patternFill>
              </fill>
            </x14:dxf>
          </x14:cfRule>
          <x14:cfRule type="expression" priority="1739" id="{4F2ECC58-0E47-4F37-A626-0C649CFAA67E}">
            <xm:f>V105&gt;Benchmark!$AF$4</xm:f>
            <x14:dxf>
              <fill>
                <patternFill>
                  <bgColor rgb="FFFF0000"/>
                </patternFill>
              </fill>
            </x14:dxf>
          </x14:cfRule>
          <xm:sqref>V20:V33</xm:sqref>
        </x14:conditionalFormatting>
        <x14:conditionalFormatting xmlns:xm="http://schemas.microsoft.com/office/excel/2006/main">
          <x14:cfRule type="expression" priority="1740" id="{2C2D7703-C94C-47AA-90A8-DCE3FC345F24}">
            <xm:f>V20&lt;Benchmark!$AF$4</xm:f>
            <x14:dxf>
              <fill>
                <patternFill>
                  <bgColor rgb="FF92D050"/>
                </patternFill>
              </fill>
            </x14:dxf>
          </x14:cfRule>
          <x14:cfRule type="expression" priority="1741" id="{A2A20496-5B5A-4EF8-B37A-8DF14CAE53B2}">
            <xm:f>V117&gt;Benchmark!$AF$4</xm:f>
            <x14:dxf>
              <fill>
                <patternFill>
                  <bgColor rgb="FFFF0000"/>
                </patternFill>
              </fill>
            </x14:dxf>
          </x14:cfRule>
          <xm:sqref>V20:V33</xm:sqref>
        </x14:conditionalFormatting>
        <x14:conditionalFormatting xmlns:xm="http://schemas.microsoft.com/office/excel/2006/main">
          <x14:cfRule type="expression" priority="1742" id="{780C3427-60BA-4490-993C-701A9634DB4A}">
            <xm:f>V20&lt;Benchmark!$N$4</xm:f>
            <x14:dxf>
              <fill>
                <patternFill>
                  <bgColor rgb="FF92D050"/>
                </patternFill>
              </fill>
            </x14:dxf>
          </x14:cfRule>
          <x14:cfRule type="expression" priority="1743" id="{05C27C49-D902-4F59-9FE4-797E6B1BB962}">
            <xm:f>V63&gt;Benchmark!$N$4</xm:f>
            <x14:dxf>
              <fill>
                <patternFill>
                  <bgColor rgb="FFFF0000"/>
                </patternFill>
              </fill>
            </x14:dxf>
          </x14:cfRule>
          <xm:sqref>V20:V33</xm:sqref>
        </x14:conditionalFormatting>
        <x14:conditionalFormatting xmlns:xm="http://schemas.microsoft.com/office/excel/2006/main">
          <x14:cfRule type="expression" priority="1744" id="{608061AB-E6F7-41D6-B985-8DCFDFD9BB17}">
            <xm:f>V27&lt;Benchmark!$AF$4</xm:f>
            <x14:dxf>
              <fill>
                <patternFill>
                  <bgColor rgb="FF92D050"/>
                </patternFill>
              </fill>
            </x14:dxf>
          </x14:cfRule>
          <x14:cfRule type="expression" priority="1745" id="{A527D09E-3B67-4FEE-8323-5A5798E49994}">
            <xm:f>V85&gt;Benchmark!$AF$4</xm:f>
            <x14:dxf>
              <fill>
                <patternFill>
                  <bgColor rgb="FFFF0000"/>
                </patternFill>
              </fill>
            </x14:dxf>
          </x14:cfRule>
          <xm:sqref>V27:V33</xm:sqref>
        </x14:conditionalFormatting>
        <x14:conditionalFormatting xmlns:xm="http://schemas.microsoft.com/office/excel/2006/main">
          <x14:cfRule type="expression" priority="1746" id="{4C0BAF8B-0BDD-4CA8-89C4-D7EEAFE1832F}">
            <xm:f>V15&lt;Benchmark!$AF$4</xm:f>
            <x14:dxf>
              <fill>
                <patternFill>
                  <bgColor rgb="FF92D050"/>
                </patternFill>
              </fill>
            </x14:dxf>
          </x14:cfRule>
          <x14:cfRule type="expression" priority="1747" id="{3B06FD18-4BC4-4254-B0D8-F79C821D45D1}">
            <xm:f>V95&gt;Benchmark!$AF$4</xm:f>
            <x14:dxf>
              <fill>
                <patternFill>
                  <bgColor rgb="FFFF0000"/>
                </patternFill>
              </fill>
            </x14:dxf>
          </x14:cfRule>
          <xm:sqref>V15</xm:sqref>
        </x14:conditionalFormatting>
        <x14:conditionalFormatting xmlns:xm="http://schemas.microsoft.com/office/excel/2006/main">
          <x14:cfRule type="expression" priority="1748" id="{24C0BD6C-53E7-40A9-920B-5932637A525A}">
            <xm:f>V23&lt;Benchmark!$AF$4</xm:f>
            <x14:dxf>
              <fill>
                <patternFill>
                  <bgColor rgb="FF92D050"/>
                </patternFill>
              </fill>
            </x14:dxf>
          </x14:cfRule>
          <x14:cfRule type="expression" priority="1749" id="{6E0E483F-4D45-4D1E-A088-3597C3383C1C}">
            <xm:f>V75&gt;Benchmark!$AF$4</xm:f>
            <x14:dxf>
              <fill>
                <patternFill>
                  <bgColor rgb="FFFF0000"/>
                </patternFill>
              </fill>
            </x14:dxf>
          </x14:cfRule>
          <xm:sqref>V23:V33</xm:sqref>
        </x14:conditionalFormatting>
        <x14:conditionalFormatting xmlns:xm="http://schemas.microsoft.com/office/excel/2006/main">
          <x14:cfRule type="expression" priority="1750" id="{C31F138D-2194-48B0-889B-932E39574572}">
            <xm:f>V38&lt;Benchmark!$AF$4</xm:f>
            <x14:dxf>
              <fill>
                <patternFill>
                  <bgColor rgb="FF92D050"/>
                </patternFill>
              </fill>
            </x14:dxf>
          </x14:cfRule>
          <x14:cfRule type="expression" priority="1751" id="{A0220F6F-569A-4F88-A215-001A18B3E38C}">
            <xm:f>V65&gt;Benchmark!$AF$4</xm:f>
            <x14:dxf>
              <fill>
                <patternFill>
                  <bgColor rgb="FFFF0000"/>
                </patternFill>
              </fill>
            </x14:dxf>
          </x14:cfRule>
          <xm:sqref>V38:V48</xm:sqref>
        </x14:conditionalFormatting>
        <x14:conditionalFormatting xmlns:xm="http://schemas.microsoft.com/office/excel/2006/main">
          <x14:cfRule type="expression" priority="1752" id="{1B948AD6-9DE9-49B7-831C-FCDDB118697D}">
            <xm:f>V34&lt;Benchmark!$AF$4</xm:f>
            <x14:dxf>
              <fill>
                <patternFill>
                  <bgColor rgb="FF92D050"/>
                </patternFill>
              </fill>
            </x14:dxf>
          </x14:cfRule>
          <x14:cfRule type="expression" priority="1753" id="{91F53BB0-F758-47EB-8B12-087BECF44A25}">
            <xm:f>V85&gt;Benchmark!$AF$4</xm:f>
            <x14:dxf>
              <fill>
                <patternFill>
                  <bgColor rgb="FFFF0000"/>
                </patternFill>
              </fill>
            </x14:dxf>
          </x14:cfRule>
          <xm:sqref>V34:V36</xm:sqref>
        </x14:conditionalFormatting>
        <x14:conditionalFormatting xmlns:xm="http://schemas.microsoft.com/office/excel/2006/main">
          <x14:cfRule type="expression" priority="1754" id="{4B432559-BF6C-4585-AE8E-1E50D3867A26}">
            <xm:f>V21&lt;Benchmark!$AF$4</xm:f>
            <x14:dxf>
              <fill>
                <patternFill>
                  <bgColor rgb="FF92D050"/>
                </patternFill>
              </fill>
            </x14:dxf>
          </x14:cfRule>
          <x14:cfRule type="expression" priority="1755" id="{7ECA8E39-F8C3-4E4E-83A7-6EAB8E3B0A1A}">
            <xm:f>V69&gt;Benchmark!$AF$4</xm:f>
            <x14:dxf>
              <fill>
                <patternFill>
                  <bgColor rgb="FFFF0000"/>
                </patternFill>
              </fill>
            </x14:dxf>
          </x14:cfRule>
          <xm:sqref>V21:V33</xm:sqref>
        </x14:conditionalFormatting>
        <x14:conditionalFormatting xmlns:xm="http://schemas.microsoft.com/office/excel/2006/main">
          <x14:cfRule type="expression" priority="1756" id="{38E07774-00BE-429E-8ECB-806BA03A8240}">
            <xm:f>V39&lt;Benchmark!$AF$4</xm:f>
            <x14:dxf>
              <fill>
                <patternFill>
                  <bgColor rgb="FF92D050"/>
                </patternFill>
              </fill>
            </x14:dxf>
          </x14:cfRule>
          <x14:cfRule type="expression" priority="1757" id="{23245196-EB4F-4B18-9CDB-45F50D4066E7}">
            <xm:f>V73&gt;Benchmark!$AF$4</xm:f>
            <x14:dxf>
              <fill>
                <patternFill>
                  <bgColor rgb="FFFF0000"/>
                </patternFill>
              </fill>
            </x14:dxf>
          </x14:cfRule>
          <xm:sqref>V39:V48</xm:sqref>
        </x14:conditionalFormatting>
        <x14:conditionalFormatting xmlns:xm="http://schemas.microsoft.com/office/excel/2006/main">
          <x14:cfRule type="expression" priority="1758" id="{2BA5868E-6A0C-47B1-A886-C7CC14BD1D71}">
            <xm:f>V22&lt;Benchmark!$AF$4</xm:f>
            <x14:dxf>
              <fill>
                <patternFill>
                  <bgColor rgb="FF92D050"/>
                </patternFill>
              </fill>
            </x14:dxf>
          </x14:cfRule>
          <x14:cfRule type="expression" priority="1759" id="{DD80CEFD-AFDD-40EB-88B4-4C4BB86153E0}">
            <xm:f>V72&gt;Benchmark!$AF$4</xm:f>
            <x14:dxf>
              <fill>
                <patternFill>
                  <bgColor rgb="FFFF0000"/>
                </patternFill>
              </fill>
            </x14:dxf>
          </x14:cfRule>
          <xm:sqref>V22:V33</xm:sqref>
        </x14:conditionalFormatting>
        <x14:conditionalFormatting xmlns:xm="http://schemas.microsoft.com/office/excel/2006/main">
          <x14:cfRule type="expression" priority="1760" id="{06EABD29-BDD8-44A2-A516-FDA27BE9363E}">
            <xm:f>V48&lt;Benchmark!$AF$4</xm:f>
            <x14:dxf>
              <fill>
                <patternFill>
                  <bgColor rgb="FF92D050"/>
                </patternFill>
              </fill>
            </x14:dxf>
          </x14:cfRule>
          <x14:cfRule type="expression" priority="1761" id="{22905595-275A-49FF-963B-9F72540873A0}">
            <xm:f>V114&gt;Benchmark!$AF$4</xm:f>
            <x14:dxf>
              <fill>
                <patternFill>
                  <bgColor rgb="FFFF0000"/>
                </patternFill>
              </fill>
            </x14:dxf>
          </x14:cfRule>
          <xm:sqref>V48</xm:sqref>
        </x14:conditionalFormatting>
        <x14:conditionalFormatting xmlns:xm="http://schemas.microsoft.com/office/excel/2006/main">
          <x14:cfRule type="expression" priority="1762" id="{042AF530-FFF0-40C0-838A-5D4539052667}">
            <xm:f>V51&lt;Benchmark!$AF$4</xm:f>
            <x14:dxf>
              <fill>
                <patternFill>
                  <bgColor rgb="FF92D050"/>
                </patternFill>
              </fill>
            </x14:dxf>
          </x14:cfRule>
          <x14:cfRule type="expression" priority="1763" id="{D49A19C9-1C62-43E5-8882-740E68B63D56}">
            <xm:f>V67&gt;Benchmark!$AF$4</xm:f>
            <x14:dxf>
              <fill>
                <patternFill>
                  <bgColor rgb="FFFF0000"/>
                </patternFill>
              </fill>
            </x14:dxf>
          </x14:cfRule>
          <xm:sqref>V51:V57</xm:sqref>
        </x14:conditionalFormatting>
        <x14:conditionalFormatting xmlns:xm="http://schemas.microsoft.com/office/excel/2006/main">
          <x14:cfRule type="expression" priority="1764" id="{B31A7AC5-007F-454A-B881-F14A9CA45E7C}">
            <xm:f>V57&lt;Benchmark!$AF$4</xm:f>
            <x14:dxf>
              <fill>
                <patternFill>
                  <bgColor rgb="FF92D050"/>
                </patternFill>
              </fill>
            </x14:dxf>
          </x14:cfRule>
          <x14:cfRule type="expression" priority="1765" id="{5EF7104A-B3D2-4979-B95B-F4155C177976}">
            <xm:f>V111&gt;Benchmark!$AF$4</xm:f>
            <x14:dxf>
              <fill>
                <patternFill>
                  <bgColor rgb="FFFF0000"/>
                </patternFill>
              </fill>
            </x14:dxf>
          </x14:cfRule>
          <xm:sqref>V57</xm:sqref>
        </x14:conditionalFormatting>
        <x14:conditionalFormatting xmlns:xm="http://schemas.microsoft.com/office/excel/2006/main">
          <x14:cfRule type="expression" priority="1766" id="{5717BFD6-C4C7-4CD9-AE44-57BBF0A06F1D}">
            <xm:f>V34&lt;Benchmark!$AF$4</xm:f>
            <x14:dxf>
              <fill>
                <patternFill>
                  <bgColor rgb="FF92D050"/>
                </patternFill>
              </fill>
            </x14:dxf>
          </x14:cfRule>
          <x14:cfRule type="expression" priority="1767" id="{B4ADEB45-1E22-4DD1-AF8B-F721D0E4979F}">
            <xm:f>V83&gt;Benchmark!$AF$4</xm:f>
            <x14:dxf>
              <fill>
                <patternFill>
                  <bgColor rgb="FFFF0000"/>
                </patternFill>
              </fill>
            </x14:dxf>
          </x14:cfRule>
          <xm:sqref>V34:V36</xm:sqref>
        </x14:conditionalFormatting>
        <x14:conditionalFormatting xmlns:xm="http://schemas.microsoft.com/office/excel/2006/main">
          <x14:cfRule type="expression" priority="1768" id="{0C3B5671-01F5-4E34-A50F-FE7BBDF2DD35}">
            <xm:f>V49&lt;Benchmark!$AF$4</xm:f>
            <x14:dxf>
              <fill>
                <patternFill>
                  <bgColor rgb="FF92D050"/>
                </patternFill>
              </fill>
            </x14:dxf>
          </x14:cfRule>
          <x14:cfRule type="expression" priority="1769" id="{507AF53A-9684-4465-87BF-5CDA27AD1D45}">
            <xm:f>V66&gt;Benchmark!$AF$4</xm:f>
            <x14:dxf>
              <fill>
                <patternFill>
                  <bgColor rgb="FFFF0000"/>
                </patternFill>
              </fill>
            </x14:dxf>
          </x14:cfRule>
          <xm:sqref>V49:V50</xm:sqref>
        </x14:conditionalFormatting>
        <x14:conditionalFormatting xmlns:xm="http://schemas.microsoft.com/office/excel/2006/main">
          <x14:cfRule type="expression" priority="1770" id="{791806E1-A8C7-4348-BCDB-A23C00C025BC}">
            <xm:f>V50&lt;Benchmark!$AF$4</xm:f>
            <x14:dxf>
              <fill>
                <patternFill>
                  <bgColor rgb="FF92D050"/>
                </patternFill>
              </fill>
            </x14:dxf>
          </x14:cfRule>
          <x14:cfRule type="expression" priority="1771" id="{ADF0C392-9127-499D-81BC-066CDECA5FD3}">
            <xm:f>V71&gt;Benchmark!$AF$4</xm:f>
            <x14:dxf>
              <fill>
                <patternFill>
                  <bgColor rgb="FFFF0000"/>
                </patternFill>
              </fill>
            </x14:dxf>
          </x14:cfRule>
          <xm:sqref>V50</xm:sqref>
        </x14:conditionalFormatting>
        <x14:conditionalFormatting xmlns:xm="http://schemas.microsoft.com/office/excel/2006/main">
          <x14:cfRule type="expression" priority="1614" id="{87C06AEC-5C19-40A7-8365-9FC5A13ADD34}">
            <xm:f>BI6&lt;Benchmark!AF$4</xm:f>
            <x14:dxf>
              <fill>
                <patternFill>
                  <bgColor rgb="FFFF0000"/>
                </patternFill>
              </fill>
            </x14:dxf>
          </x14:cfRule>
          <xm:sqref>BI69:BI73 BI61:BI62 BI57 BI42:BI55 BI39 BI34:BI37 BI29:BI30 BI23 BI17:BI21 BI9:BI10 BI6:BI7 BI26:BI27 BI12:BI13</xm:sqref>
        </x14:conditionalFormatting>
        <x14:conditionalFormatting xmlns:xm="http://schemas.microsoft.com/office/excel/2006/main">
          <x14:cfRule type="containsText" priority="34" operator="containsText" id="{1D4E1BD2-3E67-4B9D-9B22-91621A5BC453}">
            <xm:f>NOT(ISERROR(SEARCH("-",AN1)))</xm:f>
            <xm:f>"-"</xm:f>
            <x14:dxf>
              <fill>
                <patternFill>
                  <bgColor theme="0" tint="-0.34998626667073579"/>
                </patternFill>
              </fill>
            </x14:dxf>
          </x14:cfRule>
          <xm:sqref>AN1 AN6:AN64 AN3:AN4 AN66:AN1048576</xm:sqref>
        </x14:conditionalFormatting>
        <x14:conditionalFormatting xmlns:xm="http://schemas.microsoft.com/office/excel/2006/main">
          <x14:cfRule type="containsText" priority="33" operator="containsText" id="{BEF05C8B-549A-4661-BEB4-626F987513D6}">
            <xm:f>NOT(ISERROR(SEARCH("-",AQ1)))</xm:f>
            <xm:f>"-"</xm:f>
            <x14:dxf>
              <fill>
                <patternFill>
                  <bgColor theme="0" tint="-0.34998626667073579"/>
                </patternFill>
              </fill>
            </x14:dxf>
          </x14:cfRule>
          <xm:sqref>AQ1 AQ6:AQ64 AQ4 AQ67:AQ1048576</xm:sqref>
        </x14:conditionalFormatting>
        <x14:conditionalFormatting xmlns:xm="http://schemas.microsoft.com/office/excel/2006/main">
          <x14:cfRule type="containsText" priority="32" operator="containsText" id="{05E8AD35-49AD-4FEE-9D37-5B505031EEF3}">
            <xm:f>NOT(ISERROR(SEARCH("-",AT1)))</xm:f>
            <xm:f>"-"</xm:f>
            <x14:dxf>
              <fill>
                <patternFill>
                  <bgColor theme="0" tint="-0.34998626667073579"/>
                </patternFill>
              </fill>
            </x14:dxf>
          </x14:cfRule>
          <xm:sqref>AT1 AT6:AT64 AT4 AT67:AT1048576</xm:sqref>
        </x14:conditionalFormatting>
        <x14:conditionalFormatting xmlns:xm="http://schemas.microsoft.com/office/excel/2006/main">
          <x14:cfRule type="expression" priority="1618" id="{7B6872EF-CCEE-47F7-99F6-35C063065CF1}">
            <xm:f>AN6&lt;Benchmark!R$4</xm:f>
            <x14:dxf>
              <fill>
                <patternFill>
                  <bgColor rgb="FFFF0000"/>
                </patternFill>
              </fill>
            </x14:dxf>
          </x14:cfRule>
          <xm:sqref>AN69:AN73 AN61:AN62 AN39 AN34:AN37 AN29:AN30 AN23 AN17:AN21 AN9:AN10 AN6:AN7 AN26:AN27 AN12:AN13 AN42:AN57</xm:sqref>
        </x14:conditionalFormatting>
        <x14:conditionalFormatting xmlns:xm="http://schemas.microsoft.com/office/excel/2006/main">
          <x14:cfRule type="containsText" priority="31" operator="containsText" id="{7EC4B2D4-BF3F-4065-8572-D07F39A4C06D}">
            <xm:f>NOT(ISERROR(SEARCH("-",AW1)))</xm:f>
            <xm:f>"-"</xm:f>
            <x14:dxf>
              <fill>
                <patternFill>
                  <bgColor theme="0" tint="-0.34998626667073579"/>
                </patternFill>
              </fill>
            </x14:dxf>
          </x14:cfRule>
          <xm:sqref>AW1 AW6:AW64 AW4 AW67:AW1048576</xm:sqref>
        </x14:conditionalFormatting>
        <x14:conditionalFormatting xmlns:xm="http://schemas.microsoft.com/office/excel/2006/main">
          <x14:cfRule type="expression" priority="1626" id="{49F14448-7E0F-4A49-B742-1E1A8150104E}">
            <xm:f>AZ6&lt;Benchmark!Z$4</xm:f>
            <x14:dxf>
              <fill>
                <patternFill>
                  <bgColor rgb="FFFF0000"/>
                </patternFill>
              </fill>
            </x14:dxf>
          </x14:cfRule>
          <xm:sqref>AZ69:AZ73 AZ6:AZ62</xm:sqref>
        </x14:conditionalFormatting>
        <x14:conditionalFormatting xmlns:xm="http://schemas.microsoft.com/office/excel/2006/main">
          <x14:cfRule type="containsText" priority="30" operator="containsText" id="{9C19BF4B-6B73-480E-8FA6-1DB6E4A38EE9}">
            <xm:f>NOT(ISERROR(SEARCH("-",AZ1)))</xm:f>
            <xm:f>"-"</xm:f>
            <x14:dxf>
              <fill>
                <patternFill>
                  <bgColor theme="0" tint="-0.34998626667073579"/>
                </patternFill>
              </fill>
            </x14:dxf>
          </x14:cfRule>
          <xm:sqref>AZ1 AZ6:AZ64 AZ4 AZ67:AZ1048576</xm:sqref>
        </x14:conditionalFormatting>
        <x14:conditionalFormatting xmlns:xm="http://schemas.microsoft.com/office/excel/2006/main">
          <x14:cfRule type="containsText" priority="29" operator="containsText" id="{BF865F38-D058-41E8-AECE-FED135BEE689}">
            <xm:f>NOT(ISERROR(SEARCH("-",BC1)))</xm:f>
            <xm:f>"-"</xm:f>
            <x14:dxf>
              <fill>
                <patternFill>
                  <bgColor theme="0" tint="-0.34998626667073579"/>
                </patternFill>
              </fill>
            </x14:dxf>
          </x14:cfRule>
          <xm:sqref>BC1 BC6:BC64 BC4 BC67:BC1048576</xm:sqref>
        </x14:conditionalFormatting>
        <x14:conditionalFormatting xmlns:xm="http://schemas.microsoft.com/office/excel/2006/main">
          <x14:cfRule type="containsText" priority="28" operator="containsText" id="{0BC66E9F-16BD-4A55-BBDF-B4A9FD2B52B6}">
            <xm:f>NOT(ISERROR(SEARCH("-",BF1)))</xm:f>
            <xm:f>"-"</xm:f>
            <x14:dxf>
              <fill>
                <patternFill>
                  <bgColor theme="0" tint="-0.34998626667073579"/>
                </patternFill>
              </fill>
            </x14:dxf>
          </x14:cfRule>
          <xm:sqref>BF1 BF6:BF64 BF4 BF67:BF1048576</xm:sqref>
        </x14:conditionalFormatting>
        <x14:conditionalFormatting xmlns:xm="http://schemas.microsoft.com/office/excel/2006/main">
          <x14:cfRule type="containsText" priority="27" operator="containsText" id="{305AC2CC-ADAF-409A-BA7C-C492B4BDBCE9}">
            <xm:f>NOT(ISERROR(SEARCH("-",AN5)))</xm:f>
            <xm:f>"-"</xm:f>
            <x14:dxf>
              <fill>
                <patternFill>
                  <bgColor theme="0" tint="-0.34998626667073579"/>
                </patternFill>
              </fill>
            </x14:dxf>
          </x14:cfRule>
          <xm:sqref>AN5</xm:sqref>
        </x14:conditionalFormatting>
        <x14:conditionalFormatting xmlns:xm="http://schemas.microsoft.com/office/excel/2006/main">
          <x14:cfRule type="containsText" priority="26" operator="containsText" id="{00954ED2-23CE-4379-9E5D-7B85F0A713E6}">
            <xm:f>NOT(ISERROR(SEARCH("-",AQ5)))</xm:f>
            <xm:f>"-"</xm:f>
            <x14:dxf>
              <fill>
                <patternFill>
                  <bgColor theme="0" tint="-0.34998626667073579"/>
                </patternFill>
              </fill>
            </x14:dxf>
          </x14:cfRule>
          <xm:sqref>AQ5</xm:sqref>
        </x14:conditionalFormatting>
        <x14:conditionalFormatting xmlns:xm="http://schemas.microsoft.com/office/excel/2006/main">
          <x14:cfRule type="containsText" priority="25" operator="containsText" id="{740DDF7A-F7B5-4BB7-A513-ECF8CC27A06D}">
            <xm:f>NOT(ISERROR(SEARCH("-",AT5)))</xm:f>
            <xm:f>"-"</xm:f>
            <x14:dxf>
              <fill>
                <patternFill>
                  <bgColor theme="0" tint="-0.34998626667073579"/>
                </patternFill>
              </fill>
            </x14:dxf>
          </x14:cfRule>
          <xm:sqref>AT5</xm:sqref>
        </x14:conditionalFormatting>
        <x14:conditionalFormatting xmlns:xm="http://schemas.microsoft.com/office/excel/2006/main">
          <x14:cfRule type="containsText" priority="24" operator="containsText" id="{20650D3D-B893-4995-BABD-373D443D7A98}">
            <xm:f>NOT(ISERROR(SEARCH("-",AW5)))</xm:f>
            <xm:f>"-"</xm:f>
            <x14:dxf>
              <fill>
                <patternFill>
                  <bgColor theme="0" tint="-0.34998626667073579"/>
                </patternFill>
              </fill>
            </x14:dxf>
          </x14:cfRule>
          <xm:sqref>AW5</xm:sqref>
        </x14:conditionalFormatting>
        <x14:conditionalFormatting xmlns:xm="http://schemas.microsoft.com/office/excel/2006/main">
          <x14:cfRule type="containsText" priority="23" operator="containsText" id="{F3B9CDB4-BFFB-4A0E-9A91-97C9C10B8886}">
            <xm:f>NOT(ISERROR(SEARCH("-",AZ5)))</xm:f>
            <xm:f>"-"</xm:f>
            <x14:dxf>
              <fill>
                <patternFill>
                  <bgColor theme="0" tint="-0.34998626667073579"/>
                </patternFill>
              </fill>
            </x14:dxf>
          </x14:cfRule>
          <xm:sqref>AZ5</xm:sqref>
        </x14:conditionalFormatting>
        <x14:conditionalFormatting xmlns:xm="http://schemas.microsoft.com/office/excel/2006/main">
          <x14:cfRule type="containsText" priority="22" operator="containsText" id="{85393F15-E36D-483B-856C-D498CDE35859}">
            <xm:f>NOT(ISERROR(SEARCH("-",BC5)))</xm:f>
            <xm:f>"-"</xm:f>
            <x14:dxf>
              <fill>
                <patternFill>
                  <bgColor theme="0" tint="-0.34998626667073579"/>
                </patternFill>
              </fill>
            </x14:dxf>
          </x14:cfRule>
          <xm:sqref>BC5</xm:sqref>
        </x14:conditionalFormatting>
        <x14:conditionalFormatting xmlns:xm="http://schemas.microsoft.com/office/excel/2006/main">
          <x14:cfRule type="containsText" priority="21" operator="containsText" id="{F0939AA8-B5AD-40B1-871F-B9E2ABF26B47}">
            <xm:f>NOT(ISERROR(SEARCH("-",BF5)))</xm:f>
            <xm:f>"-"</xm:f>
            <x14:dxf>
              <fill>
                <patternFill>
                  <bgColor theme="0" tint="-0.34998626667073579"/>
                </patternFill>
              </fill>
            </x14:dxf>
          </x14:cfRule>
          <xm:sqref>BF5</xm:sqref>
        </x14:conditionalFormatting>
        <x14:conditionalFormatting xmlns:xm="http://schemas.microsoft.com/office/excel/2006/main">
          <x14:cfRule type="containsText" priority="20" operator="containsText" id="{60C96F5C-B4F2-4758-999B-D99A1213DFC5}">
            <xm:f>NOT(ISERROR(SEARCH("-",BI1)))</xm:f>
            <xm:f>"-"</xm:f>
            <x14:dxf>
              <fill>
                <patternFill>
                  <bgColor theme="0" tint="-0.34998626667073579"/>
                </patternFill>
              </fill>
            </x14:dxf>
          </x14:cfRule>
          <xm:sqref>BI1 BI67:BI1048576 BI4:BI64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92D050"/>
  </sheetPr>
  <dimension ref="A1:C82"/>
  <sheetViews>
    <sheetView topLeftCell="A28" workbookViewId="0">
      <selection activeCell="A47" sqref="A47"/>
    </sheetView>
  </sheetViews>
  <sheetFormatPr defaultColWidth="9.140625" defaultRowHeight="15" x14ac:dyDescent="0.25"/>
  <cols>
    <col min="1" max="1" width="31.85546875" style="160" customWidth="1"/>
    <col min="2" max="2" width="1.7109375" style="160" customWidth="1"/>
    <col min="3" max="3" width="7.7109375" style="160" customWidth="1"/>
    <col min="4" max="4" width="1" style="160" customWidth="1"/>
    <col min="5" max="7" width="11.7109375" style="160" customWidth="1"/>
    <col min="8" max="16384" width="9.140625" style="160"/>
  </cols>
  <sheetData>
    <row r="1" spans="1:3" x14ac:dyDescent="0.25">
      <c r="A1" s="161" t="s">
        <v>0</v>
      </c>
    </row>
    <row r="2" spans="1:3" x14ac:dyDescent="0.25">
      <c r="A2" s="162"/>
      <c r="B2" s="163"/>
      <c r="C2" s="169"/>
    </row>
    <row r="3" spans="1:3" x14ac:dyDescent="0.25">
      <c r="A3" s="182" t="s">
        <v>74</v>
      </c>
      <c r="B3" s="165"/>
      <c r="C3" s="164" t="s">
        <v>495</v>
      </c>
    </row>
    <row r="4" spans="1:3" x14ac:dyDescent="0.25">
      <c r="A4" s="166" t="s">
        <v>2</v>
      </c>
      <c r="B4" s="167"/>
      <c r="C4" s="168">
        <v>40</v>
      </c>
    </row>
    <row r="5" spans="1:3" x14ac:dyDescent="0.25">
      <c r="A5" s="166" t="s">
        <v>4</v>
      </c>
      <c r="B5" s="167"/>
      <c r="C5" s="168">
        <v>3</v>
      </c>
    </row>
    <row r="6" spans="1:3" x14ac:dyDescent="0.25">
      <c r="A6" s="166" t="s">
        <v>6</v>
      </c>
      <c r="B6" s="167"/>
      <c r="C6" s="168">
        <v>1495</v>
      </c>
    </row>
    <row r="7" spans="1:3" x14ac:dyDescent="0.25">
      <c r="A7" s="166" t="s">
        <v>12</v>
      </c>
      <c r="B7" s="167"/>
      <c r="C7" s="168">
        <v>2169</v>
      </c>
    </row>
    <row r="8" spans="1:3" x14ac:dyDescent="0.25">
      <c r="A8" s="166" t="s">
        <v>280</v>
      </c>
      <c r="B8" s="167"/>
      <c r="C8" s="168">
        <v>7</v>
      </c>
    </row>
    <row r="9" spans="1:3" x14ac:dyDescent="0.25">
      <c r="A9" s="166" t="s">
        <v>292</v>
      </c>
      <c r="B9" s="167"/>
      <c r="C9" s="168">
        <v>12</v>
      </c>
    </row>
    <row r="10" spans="1:3" x14ac:dyDescent="0.25">
      <c r="A10" s="166" t="s">
        <v>22</v>
      </c>
      <c r="B10" s="167"/>
      <c r="C10" s="168">
        <v>2674</v>
      </c>
    </row>
    <row r="11" spans="1:3" x14ac:dyDescent="0.25">
      <c r="A11" s="166" t="s">
        <v>37</v>
      </c>
      <c r="B11" s="167"/>
      <c r="C11" s="168">
        <v>23</v>
      </c>
    </row>
    <row r="12" spans="1:3" x14ac:dyDescent="0.25">
      <c r="A12" s="166" t="s">
        <v>39</v>
      </c>
      <c r="B12" s="167"/>
      <c r="C12" s="168">
        <v>109</v>
      </c>
    </row>
    <row r="13" spans="1:3" x14ac:dyDescent="0.25">
      <c r="A13" s="166" t="s">
        <v>41</v>
      </c>
      <c r="B13" s="167"/>
      <c r="C13" s="168">
        <v>2609</v>
      </c>
    </row>
    <row r="14" spans="1:3" x14ac:dyDescent="0.25">
      <c r="A14" s="166" t="s">
        <v>59</v>
      </c>
      <c r="B14" s="167"/>
      <c r="C14" s="168">
        <v>19</v>
      </c>
    </row>
    <row r="15" spans="1:3" x14ac:dyDescent="0.25">
      <c r="A15" s="166" t="s">
        <v>496</v>
      </c>
      <c r="B15" s="167"/>
      <c r="C15" s="168">
        <v>1</v>
      </c>
    </row>
    <row r="16" spans="1:3" x14ac:dyDescent="0.25">
      <c r="A16" s="166" t="s">
        <v>61</v>
      </c>
      <c r="B16" s="167"/>
      <c r="C16" s="168">
        <v>876</v>
      </c>
    </row>
    <row r="19" spans="1:3" x14ac:dyDescent="0.25">
      <c r="A19" s="162"/>
      <c r="B19" s="163"/>
      <c r="C19" s="169"/>
    </row>
    <row r="20" spans="1:3" x14ac:dyDescent="0.25">
      <c r="A20" s="182" t="s">
        <v>73</v>
      </c>
      <c r="B20" s="165"/>
      <c r="C20" s="164" t="s">
        <v>495</v>
      </c>
    </row>
    <row r="21" spans="1:3" x14ac:dyDescent="0.25">
      <c r="A21" s="166" t="s">
        <v>23</v>
      </c>
      <c r="B21" s="167"/>
      <c r="C21" s="168">
        <v>276</v>
      </c>
    </row>
    <row r="22" spans="1:3" x14ac:dyDescent="0.25">
      <c r="A22" s="166" t="s">
        <v>62</v>
      </c>
      <c r="B22" s="167"/>
      <c r="C22" s="168">
        <v>177</v>
      </c>
    </row>
    <row r="23" spans="1:3" x14ac:dyDescent="0.25">
      <c r="A23" s="166" t="s">
        <v>42</v>
      </c>
      <c r="B23" s="167"/>
      <c r="C23" s="168">
        <v>146</v>
      </c>
    </row>
    <row r="24" spans="1:3" x14ac:dyDescent="0.25">
      <c r="A24" s="166" t="s">
        <v>63</v>
      </c>
      <c r="B24" s="167"/>
      <c r="C24" s="168">
        <v>46</v>
      </c>
    </row>
    <row r="25" spans="1:3" x14ac:dyDescent="0.25">
      <c r="A25" s="166" t="s">
        <v>13</v>
      </c>
      <c r="B25" s="167"/>
      <c r="C25" s="168">
        <v>70</v>
      </c>
    </row>
    <row r="26" spans="1:3" x14ac:dyDescent="0.25">
      <c r="A26" s="166" t="s">
        <v>3</v>
      </c>
      <c r="B26" s="167"/>
      <c r="C26" s="168">
        <v>40</v>
      </c>
    </row>
    <row r="27" spans="1:3" x14ac:dyDescent="0.25">
      <c r="A27" s="166" t="s">
        <v>24</v>
      </c>
      <c r="B27" s="167"/>
      <c r="C27" s="168">
        <v>226</v>
      </c>
    </row>
    <row r="28" spans="1:3" x14ac:dyDescent="0.25">
      <c r="A28" s="166" t="s">
        <v>43</v>
      </c>
      <c r="B28" s="167"/>
      <c r="C28" s="168">
        <v>343</v>
      </c>
    </row>
    <row r="29" spans="1:3" x14ac:dyDescent="0.25">
      <c r="A29" s="166" t="s">
        <v>5</v>
      </c>
      <c r="B29" s="167"/>
      <c r="C29" s="168">
        <v>3</v>
      </c>
    </row>
    <row r="30" spans="1:3" x14ac:dyDescent="0.25">
      <c r="A30" s="166" t="s">
        <v>14</v>
      </c>
      <c r="B30" s="167"/>
      <c r="C30" s="168">
        <v>28</v>
      </c>
    </row>
    <row r="31" spans="1:3" x14ac:dyDescent="0.25">
      <c r="A31" s="166" t="s">
        <v>497</v>
      </c>
      <c r="B31" s="167"/>
      <c r="C31" s="168">
        <v>1</v>
      </c>
    </row>
    <row r="32" spans="1:3" x14ac:dyDescent="0.25">
      <c r="A32" s="166" t="s">
        <v>44</v>
      </c>
      <c r="B32" s="167"/>
      <c r="C32" s="168">
        <v>108</v>
      </c>
    </row>
    <row r="33" spans="1:3" x14ac:dyDescent="0.25">
      <c r="A33" s="166" t="s">
        <v>64</v>
      </c>
      <c r="B33" s="167"/>
      <c r="C33" s="168">
        <v>88</v>
      </c>
    </row>
    <row r="34" spans="1:3" x14ac:dyDescent="0.25">
      <c r="A34" s="166" t="s">
        <v>15</v>
      </c>
      <c r="B34" s="167"/>
      <c r="C34" s="168">
        <v>19</v>
      </c>
    </row>
    <row r="35" spans="1:3" x14ac:dyDescent="0.25">
      <c r="A35" s="166" t="s">
        <v>45</v>
      </c>
      <c r="B35" s="167"/>
      <c r="C35" s="168">
        <v>311</v>
      </c>
    </row>
    <row r="36" spans="1:3" x14ac:dyDescent="0.25">
      <c r="A36" s="166" t="s">
        <v>46</v>
      </c>
      <c r="B36" s="167"/>
      <c r="C36" s="168">
        <v>52</v>
      </c>
    </row>
    <row r="37" spans="1:3" x14ac:dyDescent="0.25">
      <c r="A37" s="166" t="s">
        <v>47</v>
      </c>
      <c r="B37" s="167"/>
      <c r="C37" s="168">
        <v>50</v>
      </c>
    </row>
    <row r="38" spans="1:3" x14ac:dyDescent="0.25">
      <c r="A38" s="166" t="s">
        <v>25</v>
      </c>
      <c r="B38" s="167"/>
      <c r="C38" s="168">
        <v>58</v>
      </c>
    </row>
    <row r="39" spans="1:3" x14ac:dyDescent="0.25">
      <c r="A39" s="166" t="s">
        <v>16</v>
      </c>
      <c r="B39" s="167"/>
      <c r="C39" s="168">
        <v>149</v>
      </c>
    </row>
    <row r="40" spans="1:3" x14ac:dyDescent="0.25">
      <c r="A40" s="166" t="s">
        <v>17</v>
      </c>
      <c r="B40" s="167"/>
      <c r="C40" s="168">
        <v>249</v>
      </c>
    </row>
    <row r="41" spans="1:3" x14ac:dyDescent="0.25">
      <c r="A41" s="166" t="s">
        <v>48</v>
      </c>
      <c r="B41" s="167"/>
      <c r="C41" s="168">
        <v>90</v>
      </c>
    </row>
    <row r="42" spans="1:3" x14ac:dyDescent="0.25">
      <c r="A42" s="166" t="s">
        <v>26</v>
      </c>
      <c r="B42" s="167"/>
      <c r="C42" s="168">
        <v>367</v>
      </c>
    </row>
    <row r="43" spans="1:3" x14ac:dyDescent="0.25">
      <c r="A43" s="166" t="s">
        <v>27</v>
      </c>
      <c r="B43" s="167"/>
      <c r="C43" s="168">
        <v>109</v>
      </c>
    </row>
    <row r="44" spans="1:3" x14ac:dyDescent="0.25">
      <c r="A44" s="166" t="s">
        <v>65</v>
      </c>
      <c r="B44" s="167"/>
      <c r="C44" s="168">
        <v>49</v>
      </c>
    </row>
    <row r="45" spans="1:3" x14ac:dyDescent="0.25">
      <c r="A45" s="166" t="s">
        <v>28</v>
      </c>
      <c r="B45" s="167"/>
      <c r="C45" s="168">
        <v>220</v>
      </c>
    </row>
    <row r="46" spans="1:3" x14ac:dyDescent="0.25">
      <c r="A46" s="166" t="s">
        <v>49</v>
      </c>
      <c r="B46" s="167"/>
      <c r="C46" s="168">
        <v>151</v>
      </c>
    </row>
    <row r="47" spans="1:3" x14ac:dyDescent="0.25">
      <c r="A47" s="543" t="s">
        <v>66</v>
      </c>
      <c r="B47" s="167"/>
      <c r="C47" s="168">
        <v>138</v>
      </c>
    </row>
    <row r="48" spans="1:3" x14ac:dyDescent="0.25">
      <c r="A48" s="166" t="s">
        <v>29</v>
      </c>
      <c r="B48" s="167"/>
      <c r="C48" s="168">
        <v>127</v>
      </c>
    </row>
    <row r="49" spans="1:3" x14ac:dyDescent="0.25">
      <c r="A49" s="166" t="s">
        <v>7</v>
      </c>
      <c r="B49" s="167"/>
      <c r="C49" s="168">
        <v>230</v>
      </c>
    </row>
    <row r="50" spans="1:3" x14ac:dyDescent="0.25">
      <c r="A50" s="166" t="s">
        <v>30</v>
      </c>
      <c r="B50" s="167"/>
      <c r="C50" s="168">
        <v>393</v>
      </c>
    </row>
    <row r="51" spans="1:3" x14ac:dyDescent="0.25">
      <c r="A51" s="166" t="s">
        <v>31</v>
      </c>
      <c r="B51" s="167"/>
      <c r="C51" s="168">
        <v>81</v>
      </c>
    </row>
    <row r="52" spans="1:3" x14ac:dyDescent="0.25">
      <c r="A52" s="166" t="s">
        <v>281</v>
      </c>
      <c r="B52" s="167"/>
      <c r="C52" s="168">
        <v>7</v>
      </c>
    </row>
    <row r="53" spans="1:3" x14ac:dyDescent="0.25">
      <c r="A53" s="166" t="s">
        <v>8</v>
      </c>
      <c r="B53" s="167"/>
      <c r="C53" s="168">
        <v>416</v>
      </c>
    </row>
    <row r="54" spans="1:3" x14ac:dyDescent="0.25">
      <c r="A54" s="166" t="s">
        <v>18</v>
      </c>
      <c r="B54" s="167"/>
      <c r="C54" s="168">
        <v>225</v>
      </c>
    </row>
    <row r="55" spans="1:3" x14ac:dyDescent="0.25">
      <c r="A55" s="166" t="s">
        <v>293</v>
      </c>
      <c r="B55" s="167"/>
      <c r="C55" s="168">
        <v>12</v>
      </c>
    </row>
    <row r="56" spans="1:3" x14ac:dyDescent="0.25">
      <c r="A56" s="166" t="s">
        <v>67</v>
      </c>
      <c r="B56" s="167"/>
      <c r="C56" s="168">
        <v>219</v>
      </c>
    </row>
    <row r="57" spans="1:3" x14ac:dyDescent="0.25">
      <c r="A57" s="166" t="s">
        <v>32</v>
      </c>
      <c r="B57" s="167"/>
      <c r="C57" s="168">
        <v>16</v>
      </c>
    </row>
    <row r="58" spans="1:3" x14ac:dyDescent="0.25">
      <c r="A58" s="166" t="s">
        <v>68</v>
      </c>
      <c r="B58" s="167"/>
      <c r="C58" s="168">
        <v>154</v>
      </c>
    </row>
    <row r="59" spans="1:3" x14ac:dyDescent="0.25">
      <c r="A59" s="166" t="s">
        <v>33</v>
      </c>
      <c r="B59" s="167"/>
      <c r="C59" s="168">
        <v>139</v>
      </c>
    </row>
    <row r="60" spans="1:3" x14ac:dyDescent="0.25">
      <c r="A60" s="166" t="s">
        <v>34</v>
      </c>
      <c r="B60" s="167"/>
      <c r="C60" s="168">
        <v>206</v>
      </c>
    </row>
    <row r="61" spans="1:3" x14ac:dyDescent="0.25">
      <c r="A61" s="166" t="s">
        <v>50</v>
      </c>
      <c r="B61" s="167"/>
      <c r="C61" s="168">
        <v>131</v>
      </c>
    </row>
    <row r="62" spans="1:3" x14ac:dyDescent="0.25">
      <c r="A62" s="166" t="s">
        <v>19</v>
      </c>
      <c r="B62" s="167"/>
      <c r="C62" s="168">
        <v>149</v>
      </c>
    </row>
    <row r="63" spans="1:3" x14ac:dyDescent="0.25">
      <c r="A63" s="166" t="s">
        <v>51</v>
      </c>
      <c r="B63" s="167"/>
      <c r="C63" s="168">
        <v>16</v>
      </c>
    </row>
    <row r="64" spans="1:3" x14ac:dyDescent="0.25">
      <c r="A64" s="166" t="s">
        <v>35</v>
      </c>
      <c r="B64" s="167"/>
      <c r="C64" s="168">
        <v>221</v>
      </c>
    </row>
    <row r="65" spans="1:3" x14ac:dyDescent="0.25">
      <c r="A65" s="166" t="s">
        <v>20</v>
      </c>
      <c r="B65" s="167"/>
      <c r="C65" s="168">
        <v>300</v>
      </c>
    </row>
    <row r="66" spans="1:3" x14ac:dyDescent="0.25">
      <c r="A66" s="166" t="s">
        <v>52</v>
      </c>
      <c r="B66" s="167"/>
      <c r="C66" s="168">
        <v>112</v>
      </c>
    </row>
    <row r="67" spans="1:3" x14ac:dyDescent="0.25">
      <c r="A67" s="166" t="s">
        <v>53</v>
      </c>
      <c r="B67" s="167"/>
      <c r="C67" s="168">
        <v>20</v>
      </c>
    </row>
    <row r="68" spans="1:3" x14ac:dyDescent="0.25">
      <c r="A68" s="166" t="s">
        <v>9</v>
      </c>
      <c r="B68" s="167"/>
      <c r="C68" s="168">
        <v>322</v>
      </c>
    </row>
    <row r="69" spans="1:3" x14ac:dyDescent="0.25">
      <c r="A69" s="166" t="s">
        <v>10</v>
      </c>
      <c r="B69" s="167"/>
      <c r="C69" s="168">
        <v>174</v>
      </c>
    </row>
    <row r="70" spans="1:3" x14ac:dyDescent="0.25">
      <c r="A70" s="166" t="s">
        <v>54</v>
      </c>
      <c r="B70" s="167"/>
      <c r="C70" s="168">
        <v>91</v>
      </c>
    </row>
    <row r="71" spans="1:3" x14ac:dyDescent="0.25">
      <c r="A71" s="166" t="s">
        <v>38</v>
      </c>
      <c r="B71" s="167"/>
      <c r="C71" s="168">
        <v>23</v>
      </c>
    </row>
    <row r="72" spans="1:3" x14ac:dyDescent="0.25">
      <c r="A72" s="166" t="s">
        <v>40</v>
      </c>
      <c r="B72" s="167"/>
      <c r="C72" s="168">
        <v>109</v>
      </c>
    </row>
    <row r="73" spans="1:3" x14ac:dyDescent="0.25">
      <c r="A73" s="166" t="s">
        <v>21</v>
      </c>
      <c r="B73" s="167"/>
      <c r="C73" s="168">
        <v>980</v>
      </c>
    </row>
    <row r="74" spans="1:3" x14ac:dyDescent="0.25">
      <c r="A74" s="166" t="s">
        <v>55</v>
      </c>
      <c r="B74" s="167"/>
      <c r="C74" s="168">
        <v>43</v>
      </c>
    </row>
    <row r="75" spans="1:3" x14ac:dyDescent="0.25">
      <c r="A75" s="166" t="s">
        <v>56</v>
      </c>
      <c r="B75" s="167"/>
      <c r="C75" s="168">
        <v>599</v>
      </c>
    </row>
    <row r="76" spans="1:3" x14ac:dyDescent="0.25">
      <c r="A76" s="166" t="s">
        <v>11</v>
      </c>
      <c r="B76" s="167"/>
      <c r="C76" s="168">
        <v>352</v>
      </c>
    </row>
    <row r="77" spans="1:3" x14ac:dyDescent="0.25">
      <c r="A77" s="166" t="s">
        <v>36</v>
      </c>
      <c r="B77" s="167"/>
      <c r="C77" s="168">
        <v>235</v>
      </c>
    </row>
    <row r="78" spans="1:3" x14ac:dyDescent="0.25">
      <c r="A78" s="166" t="s">
        <v>57</v>
      </c>
      <c r="B78" s="167"/>
      <c r="C78" s="168">
        <v>276</v>
      </c>
    </row>
    <row r="79" spans="1:3" x14ac:dyDescent="0.25">
      <c r="A79" s="166" t="s">
        <v>60</v>
      </c>
      <c r="B79" s="167"/>
      <c r="C79" s="168">
        <v>19</v>
      </c>
    </row>
    <row r="80" spans="1:3" x14ac:dyDescent="0.25">
      <c r="A80" s="166" t="s">
        <v>496</v>
      </c>
      <c r="B80" s="167"/>
      <c r="C80" s="168">
        <v>1</v>
      </c>
    </row>
    <row r="81" spans="1:3" x14ac:dyDescent="0.25">
      <c r="A81" s="166" t="s">
        <v>58</v>
      </c>
      <c r="B81" s="167"/>
      <c r="C81" s="168">
        <v>70</v>
      </c>
    </row>
    <row r="82" spans="1:3" x14ac:dyDescent="0.25">
      <c r="A82" s="166" t="s">
        <v>69</v>
      </c>
      <c r="B82" s="167"/>
      <c r="C82" s="168">
        <v>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92D050"/>
  </sheetPr>
  <dimension ref="A2:F86"/>
  <sheetViews>
    <sheetView zoomScaleNormal="100" workbookViewId="0">
      <selection activeCell="E14" sqref="E14"/>
    </sheetView>
  </sheetViews>
  <sheetFormatPr defaultColWidth="9.140625" defaultRowHeight="15" x14ac:dyDescent="0.25"/>
  <cols>
    <col min="1" max="1" width="54.140625" style="160" bestFit="1" customWidth="1"/>
    <col min="2" max="2" width="22.5703125" style="160" bestFit="1" customWidth="1"/>
    <col min="3" max="3" width="22.5703125" style="10" bestFit="1" customWidth="1"/>
    <col min="4" max="4" width="22.5703125" style="160" bestFit="1" customWidth="1"/>
    <col min="5" max="5" width="21.7109375" style="160" customWidth="1"/>
    <col min="6" max="16384" width="9.140625" style="160"/>
  </cols>
  <sheetData>
    <row r="2" spans="1:6" x14ac:dyDescent="0.25">
      <c r="B2" s="160" t="s">
        <v>418</v>
      </c>
      <c r="C2" s="10" t="s">
        <v>419</v>
      </c>
    </row>
    <row r="3" spans="1:6" x14ac:dyDescent="0.25">
      <c r="B3" s="160" t="s">
        <v>286</v>
      </c>
    </row>
    <row r="4" spans="1:6" x14ac:dyDescent="0.25">
      <c r="A4" s="556" t="s">
        <v>74</v>
      </c>
      <c r="B4" s="556" t="s">
        <v>282</v>
      </c>
      <c r="C4" s="556" t="s">
        <v>283</v>
      </c>
      <c r="F4" s="10"/>
    </row>
    <row r="5" spans="1:6" x14ac:dyDescent="0.25">
      <c r="A5" s="160" t="s">
        <v>2</v>
      </c>
      <c r="B5" s="437">
        <v>31</v>
      </c>
      <c r="C5" s="15">
        <v>0.79487179487179482</v>
      </c>
    </row>
    <row r="6" spans="1:6" x14ac:dyDescent="0.25">
      <c r="A6" s="160" t="s">
        <v>4</v>
      </c>
      <c r="B6" s="437">
        <v>4</v>
      </c>
      <c r="C6" s="15">
        <v>1</v>
      </c>
    </row>
    <row r="7" spans="1:6" x14ac:dyDescent="0.25">
      <c r="A7" s="160" t="s">
        <v>6</v>
      </c>
      <c r="B7" s="437">
        <v>1080</v>
      </c>
      <c r="C7" s="15">
        <v>0.74792243767313016</v>
      </c>
    </row>
    <row r="8" spans="1:6" x14ac:dyDescent="0.25">
      <c r="A8" s="160" t="s">
        <v>12</v>
      </c>
      <c r="B8" s="437">
        <v>1209</v>
      </c>
      <c r="C8" s="15">
        <v>0.58575581395348841</v>
      </c>
    </row>
    <row r="9" spans="1:6" x14ac:dyDescent="0.25">
      <c r="A9" s="160" t="s">
        <v>22</v>
      </c>
      <c r="B9" s="437">
        <v>1485</v>
      </c>
      <c r="C9" s="15">
        <v>0.5911624203821656</v>
      </c>
    </row>
    <row r="10" spans="1:6" x14ac:dyDescent="0.25">
      <c r="A10" s="160" t="s">
        <v>37</v>
      </c>
      <c r="B10" s="437">
        <v>19</v>
      </c>
      <c r="C10" s="15">
        <v>0.90476190476190477</v>
      </c>
    </row>
    <row r="11" spans="1:6" x14ac:dyDescent="0.25">
      <c r="A11" s="160" t="s">
        <v>39</v>
      </c>
      <c r="B11" s="437">
        <v>81</v>
      </c>
      <c r="C11" s="15">
        <v>0.79411764705882348</v>
      </c>
    </row>
    <row r="12" spans="1:6" x14ac:dyDescent="0.25">
      <c r="A12" s="160" t="s">
        <v>41</v>
      </c>
      <c r="B12" s="437">
        <v>1622</v>
      </c>
      <c r="C12" s="15">
        <v>0.65827922077922074</v>
      </c>
    </row>
    <row r="13" spans="1:6" x14ac:dyDescent="0.25">
      <c r="A13" s="160" t="s">
        <v>59</v>
      </c>
      <c r="B13" s="437">
        <v>7</v>
      </c>
      <c r="C13" s="15">
        <v>0.36842105263157893</v>
      </c>
    </row>
    <row r="14" spans="1:6" x14ac:dyDescent="0.25">
      <c r="A14" s="160" t="s">
        <v>61</v>
      </c>
      <c r="B14" s="437">
        <v>494</v>
      </c>
      <c r="C14" s="15">
        <v>0.59375</v>
      </c>
    </row>
    <row r="15" spans="1:6" x14ac:dyDescent="0.25">
      <c r="A15" s="160" t="s">
        <v>280</v>
      </c>
      <c r="B15" s="437">
        <v>5</v>
      </c>
      <c r="C15" s="15">
        <v>0.7142857142857143</v>
      </c>
    </row>
    <row r="16" spans="1:6" x14ac:dyDescent="0.25">
      <c r="A16" s="160" t="s">
        <v>292</v>
      </c>
      <c r="B16" s="437">
        <v>4</v>
      </c>
      <c r="C16" s="15">
        <v>0.33333333333333331</v>
      </c>
    </row>
    <row r="17" spans="1:3" x14ac:dyDescent="0.25">
      <c r="A17" s="557" t="s">
        <v>70</v>
      </c>
      <c r="B17" s="554">
        <v>6041</v>
      </c>
      <c r="C17" s="555">
        <v>0.63455882352941173</v>
      </c>
    </row>
    <row r="19" spans="1:3" x14ac:dyDescent="0.25">
      <c r="A19" s="160" t="s">
        <v>420</v>
      </c>
      <c r="B19" s="160" t="s">
        <v>421</v>
      </c>
    </row>
    <row r="21" spans="1:3" x14ac:dyDescent="0.25">
      <c r="A21" s="99"/>
      <c r="B21" s="160" t="s">
        <v>418</v>
      </c>
      <c r="C21" s="10" t="s">
        <v>419</v>
      </c>
    </row>
    <row r="22" spans="1:3" x14ac:dyDescent="0.25">
      <c r="B22" s="160" t="s">
        <v>286</v>
      </c>
    </row>
    <row r="23" spans="1:3" x14ac:dyDescent="0.25">
      <c r="A23" s="99" t="s">
        <v>284</v>
      </c>
      <c r="B23" s="160" t="s">
        <v>282</v>
      </c>
      <c r="C23" s="10" t="s">
        <v>283</v>
      </c>
    </row>
    <row r="24" spans="1:3" x14ac:dyDescent="0.25">
      <c r="A24" s="160" t="s">
        <v>23</v>
      </c>
      <c r="B24" s="160">
        <v>136</v>
      </c>
      <c r="C24" s="10">
        <v>0.56666666666666665</v>
      </c>
    </row>
    <row r="25" spans="1:3" x14ac:dyDescent="0.25">
      <c r="A25" s="160" t="s">
        <v>62</v>
      </c>
      <c r="B25" s="160">
        <v>88</v>
      </c>
      <c r="C25" s="10">
        <v>0.58666666666666667</v>
      </c>
    </row>
    <row r="26" spans="1:3" x14ac:dyDescent="0.25">
      <c r="A26" s="160" t="s">
        <v>42</v>
      </c>
      <c r="B26" s="160">
        <v>68</v>
      </c>
      <c r="C26" s="10">
        <v>0.70833333333333337</v>
      </c>
    </row>
    <row r="27" spans="1:3" x14ac:dyDescent="0.25">
      <c r="A27" s="160" t="s">
        <v>63</v>
      </c>
      <c r="B27" s="160">
        <v>36</v>
      </c>
      <c r="C27" s="10">
        <v>0.8</v>
      </c>
    </row>
    <row r="28" spans="1:3" x14ac:dyDescent="0.25">
      <c r="A28" s="160" t="s">
        <v>13</v>
      </c>
      <c r="B28" s="160">
        <v>47</v>
      </c>
      <c r="C28" s="10">
        <v>0.64383561643835618</v>
      </c>
    </row>
    <row r="29" spans="1:3" x14ac:dyDescent="0.25">
      <c r="A29" s="160" t="s">
        <v>3</v>
      </c>
      <c r="B29" s="160">
        <v>31</v>
      </c>
      <c r="C29" s="10">
        <v>0.79487179487179482</v>
      </c>
    </row>
    <row r="30" spans="1:3" x14ac:dyDescent="0.25">
      <c r="A30" s="160" t="s">
        <v>24</v>
      </c>
      <c r="B30" s="160">
        <v>93</v>
      </c>
      <c r="C30" s="10">
        <v>0.46500000000000002</v>
      </c>
    </row>
    <row r="31" spans="1:3" x14ac:dyDescent="0.25">
      <c r="A31" s="160" t="s">
        <v>43</v>
      </c>
      <c r="B31" s="160">
        <v>212</v>
      </c>
      <c r="C31" s="10">
        <v>0.69055374592833874</v>
      </c>
    </row>
    <row r="32" spans="1:3" x14ac:dyDescent="0.25">
      <c r="A32" s="160" t="s">
        <v>5</v>
      </c>
      <c r="B32" s="160">
        <v>4</v>
      </c>
      <c r="C32" s="10">
        <v>1</v>
      </c>
    </row>
    <row r="33" spans="1:3" x14ac:dyDescent="0.25">
      <c r="A33" s="160" t="s">
        <v>14</v>
      </c>
      <c r="B33" s="160">
        <v>16</v>
      </c>
      <c r="C33" s="10">
        <v>0.59259259259259256</v>
      </c>
    </row>
    <row r="34" spans="1:3" x14ac:dyDescent="0.25">
      <c r="A34" s="160" t="s">
        <v>44</v>
      </c>
      <c r="B34" s="160">
        <v>57</v>
      </c>
      <c r="C34" s="10">
        <v>0.6404494382022472</v>
      </c>
    </row>
    <row r="35" spans="1:3" x14ac:dyDescent="0.25">
      <c r="A35" s="160" t="s">
        <v>64</v>
      </c>
      <c r="B35" s="160">
        <v>63</v>
      </c>
      <c r="C35" s="10">
        <v>0.73255813953488369</v>
      </c>
    </row>
    <row r="36" spans="1:3" x14ac:dyDescent="0.25">
      <c r="A36" s="160" t="s">
        <v>15</v>
      </c>
      <c r="B36" s="160">
        <v>13</v>
      </c>
      <c r="C36" s="10">
        <v>0.68421052631578949</v>
      </c>
    </row>
    <row r="37" spans="1:3" x14ac:dyDescent="0.25">
      <c r="A37" s="160" t="s">
        <v>45</v>
      </c>
      <c r="B37" s="160">
        <v>141</v>
      </c>
      <c r="C37" s="10">
        <v>0.5127272727272727</v>
      </c>
    </row>
    <row r="38" spans="1:3" x14ac:dyDescent="0.25">
      <c r="A38" s="160" t="s">
        <v>46</v>
      </c>
      <c r="B38" s="160">
        <v>36</v>
      </c>
      <c r="C38" s="10">
        <v>0.75</v>
      </c>
    </row>
    <row r="39" spans="1:3" x14ac:dyDescent="0.25">
      <c r="A39" s="160" t="s">
        <v>47</v>
      </c>
      <c r="B39" s="160">
        <v>40</v>
      </c>
      <c r="C39" s="10">
        <v>0.86956521739130432</v>
      </c>
    </row>
    <row r="40" spans="1:3" x14ac:dyDescent="0.25">
      <c r="A40" s="160" t="s">
        <v>25</v>
      </c>
      <c r="B40" s="160">
        <v>39</v>
      </c>
      <c r="C40" s="10">
        <v>0.8125</v>
      </c>
    </row>
    <row r="41" spans="1:3" x14ac:dyDescent="0.25">
      <c r="A41" s="160" t="s">
        <v>16</v>
      </c>
      <c r="B41" s="160">
        <v>106</v>
      </c>
      <c r="C41" s="10">
        <v>0.73611111111111116</v>
      </c>
    </row>
    <row r="42" spans="1:3" x14ac:dyDescent="0.25">
      <c r="A42" s="160" t="s">
        <v>17</v>
      </c>
      <c r="B42" s="160">
        <v>123</v>
      </c>
      <c r="C42" s="10">
        <v>0.82</v>
      </c>
    </row>
    <row r="43" spans="1:3" x14ac:dyDescent="0.25">
      <c r="A43" s="160" t="s">
        <v>26</v>
      </c>
      <c r="B43" s="160">
        <v>131</v>
      </c>
      <c r="C43" s="10">
        <v>0.44107744107744107</v>
      </c>
    </row>
    <row r="44" spans="1:3" x14ac:dyDescent="0.25">
      <c r="A44" s="160" t="s">
        <v>27</v>
      </c>
      <c r="B44" s="160">
        <v>88</v>
      </c>
      <c r="C44" s="10">
        <v>0.87128712871287128</v>
      </c>
    </row>
    <row r="45" spans="1:3" x14ac:dyDescent="0.25">
      <c r="A45" s="160" t="s">
        <v>48</v>
      </c>
      <c r="B45" s="160">
        <v>62</v>
      </c>
      <c r="C45" s="10">
        <v>0.77500000000000002</v>
      </c>
    </row>
    <row r="46" spans="1:3" x14ac:dyDescent="0.25">
      <c r="A46" s="160" t="s">
        <v>28</v>
      </c>
      <c r="B46" s="160">
        <v>127</v>
      </c>
      <c r="C46" s="10">
        <v>0.66492146596858637</v>
      </c>
    </row>
    <row r="47" spans="1:3" x14ac:dyDescent="0.25">
      <c r="A47" s="160" t="s">
        <v>49</v>
      </c>
      <c r="B47" s="160">
        <v>71</v>
      </c>
      <c r="C47" s="10">
        <v>0.58677685950413228</v>
      </c>
    </row>
    <row r="48" spans="1:3" x14ac:dyDescent="0.25">
      <c r="A48" s="160" t="s">
        <v>65</v>
      </c>
      <c r="B48" s="160">
        <v>32</v>
      </c>
      <c r="C48" s="10">
        <v>0.65306122448979587</v>
      </c>
    </row>
    <row r="49" spans="1:3" x14ac:dyDescent="0.25">
      <c r="A49" s="160" t="s">
        <v>29</v>
      </c>
      <c r="B49" s="160">
        <v>62</v>
      </c>
      <c r="C49" s="10">
        <v>0.53913043478260869</v>
      </c>
    </row>
    <row r="50" spans="1:3" x14ac:dyDescent="0.25">
      <c r="A50" s="160" t="s">
        <v>30</v>
      </c>
      <c r="B50" s="160">
        <v>249</v>
      </c>
      <c r="C50" s="10">
        <v>0.72383720930232553</v>
      </c>
    </row>
    <row r="51" spans="1:3" x14ac:dyDescent="0.25">
      <c r="A51" s="160" t="s">
        <v>7</v>
      </c>
      <c r="B51" s="160">
        <v>182</v>
      </c>
      <c r="C51" s="10">
        <v>0.84651162790697676</v>
      </c>
    </row>
    <row r="52" spans="1:3" x14ac:dyDescent="0.25">
      <c r="A52" s="160" t="s">
        <v>31</v>
      </c>
      <c r="B52" s="160">
        <v>51</v>
      </c>
      <c r="C52" s="10">
        <v>0.66233766233766234</v>
      </c>
    </row>
    <row r="53" spans="1:3" x14ac:dyDescent="0.25">
      <c r="A53" s="160" t="s">
        <v>281</v>
      </c>
      <c r="B53" s="160">
        <v>5</v>
      </c>
      <c r="C53" s="10">
        <v>0.7142857142857143</v>
      </c>
    </row>
    <row r="54" spans="1:3" x14ac:dyDescent="0.25">
      <c r="A54" s="160" t="s">
        <v>8</v>
      </c>
      <c r="B54" s="160">
        <v>231</v>
      </c>
      <c r="C54" s="10">
        <v>0.71962616822429903</v>
      </c>
    </row>
    <row r="55" spans="1:3" x14ac:dyDescent="0.25">
      <c r="A55" s="160" t="s">
        <v>18</v>
      </c>
      <c r="B55" s="160">
        <v>200</v>
      </c>
      <c r="C55" s="10">
        <v>0.88888888888888884</v>
      </c>
    </row>
    <row r="56" spans="1:3" x14ac:dyDescent="0.25">
      <c r="A56" s="160" t="s">
        <v>285</v>
      </c>
      <c r="B56" s="160">
        <v>195</v>
      </c>
      <c r="C56" s="10">
        <v>0.32392026578073091</v>
      </c>
    </row>
    <row r="57" spans="1:3" x14ac:dyDescent="0.25">
      <c r="A57" s="160" t="s">
        <v>67</v>
      </c>
      <c r="B57" s="160">
        <v>107</v>
      </c>
      <c r="C57" s="10">
        <v>0.53768844221105527</v>
      </c>
    </row>
    <row r="58" spans="1:3" x14ac:dyDescent="0.25">
      <c r="A58" s="160" t="s">
        <v>32</v>
      </c>
      <c r="B58" s="160">
        <v>11</v>
      </c>
      <c r="C58" s="10">
        <v>0.73333333333333328</v>
      </c>
    </row>
    <row r="59" spans="1:3" x14ac:dyDescent="0.25">
      <c r="A59" s="160" t="s">
        <v>68</v>
      </c>
      <c r="B59" s="160">
        <v>68</v>
      </c>
      <c r="C59" s="10">
        <v>0.52713178294573648</v>
      </c>
    </row>
    <row r="60" spans="1:3" x14ac:dyDescent="0.25">
      <c r="A60" s="160" t="s">
        <v>33</v>
      </c>
      <c r="B60" s="160">
        <v>97</v>
      </c>
      <c r="C60" s="10">
        <v>0.82203389830508478</v>
      </c>
    </row>
    <row r="61" spans="1:3" x14ac:dyDescent="0.25">
      <c r="A61" s="160" t="s">
        <v>34</v>
      </c>
      <c r="B61" s="160">
        <v>111</v>
      </c>
      <c r="C61" s="10">
        <v>0.60655737704918034</v>
      </c>
    </row>
    <row r="62" spans="1:3" x14ac:dyDescent="0.25">
      <c r="A62" s="160" t="s">
        <v>50</v>
      </c>
      <c r="B62" s="160">
        <v>82</v>
      </c>
      <c r="C62" s="10">
        <v>0.7068965517241379</v>
      </c>
    </row>
    <row r="63" spans="1:3" x14ac:dyDescent="0.25">
      <c r="A63" s="160" t="s">
        <v>19</v>
      </c>
      <c r="B63" s="160">
        <v>80</v>
      </c>
      <c r="C63" s="10">
        <v>0.54421768707482998</v>
      </c>
    </row>
    <row r="64" spans="1:3" x14ac:dyDescent="0.25">
      <c r="A64" s="160" t="s">
        <v>51</v>
      </c>
      <c r="B64" s="160">
        <v>9</v>
      </c>
      <c r="C64" s="10">
        <v>0.6428571428571429</v>
      </c>
    </row>
    <row r="65" spans="1:3" x14ac:dyDescent="0.25">
      <c r="A65" s="160" t="s">
        <v>35</v>
      </c>
      <c r="B65" s="160">
        <v>140</v>
      </c>
      <c r="C65" s="10">
        <v>0.70707070707070707</v>
      </c>
    </row>
    <row r="66" spans="1:3" x14ac:dyDescent="0.25">
      <c r="A66" s="160" t="s">
        <v>20</v>
      </c>
      <c r="B66" s="160">
        <v>243</v>
      </c>
      <c r="C66" s="10">
        <v>0.88363636363636366</v>
      </c>
    </row>
    <row r="67" spans="1:3" x14ac:dyDescent="0.25">
      <c r="A67" s="160" t="s">
        <v>52</v>
      </c>
      <c r="B67" s="160">
        <v>83</v>
      </c>
      <c r="C67" s="10">
        <v>0.84693877551020413</v>
      </c>
    </row>
    <row r="68" spans="1:3" x14ac:dyDescent="0.25">
      <c r="A68" s="160" t="s">
        <v>53</v>
      </c>
      <c r="B68" s="160">
        <v>13</v>
      </c>
      <c r="C68" s="10">
        <v>0.65</v>
      </c>
    </row>
    <row r="69" spans="1:3" x14ac:dyDescent="0.25">
      <c r="A69" s="160" t="s">
        <v>9</v>
      </c>
      <c r="B69" s="160">
        <v>218</v>
      </c>
      <c r="C69" s="10">
        <v>0.70550161812297729</v>
      </c>
    </row>
    <row r="70" spans="1:3" x14ac:dyDescent="0.25">
      <c r="A70" s="160" t="s">
        <v>10</v>
      </c>
      <c r="B70" s="160">
        <v>136</v>
      </c>
      <c r="C70" s="10">
        <v>0.81437125748502992</v>
      </c>
    </row>
    <row r="71" spans="1:3" x14ac:dyDescent="0.25">
      <c r="A71" s="160" t="s">
        <v>54</v>
      </c>
      <c r="B71" s="160">
        <v>35</v>
      </c>
      <c r="C71" s="10">
        <v>0.45454545454545453</v>
      </c>
    </row>
    <row r="72" spans="1:3" x14ac:dyDescent="0.25">
      <c r="A72" s="160" t="s">
        <v>38</v>
      </c>
      <c r="B72" s="160">
        <v>19</v>
      </c>
      <c r="C72" s="10">
        <v>0.90476190476190477</v>
      </c>
    </row>
    <row r="73" spans="1:3" x14ac:dyDescent="0.25">
      <c r="A73" s="160" t="s">
        <v>40</v>
      </c>
      <c r="B73" s="160">
        <v>79</v>
      </c>
      <c r="C73" s="10">
        <v>0.80612244897959184</v>
      </c>
    </row>
    <row r="74" spans="1:3" x14ac:dyDescent="0.25">
      <c r="A74" s="160" t="s">
        <v>21</v>
      </c>
      <c r="B74" s="160">
        <v>367</v>
      </c>
      <c r="C74" s="10">
        <v>0.40021810250817885</v>
      </c>
    </row>
    <row r="75" spans="1:3" x14ac:dyDescent="0.25">
      <c r="A75" s="160" t="s">
        <v>55</v>
      </c>
      <c r="B75" s="160">
        <v>31</v>
      </c>
      <c r="C75" s="10">
        <v>0.77500000000000002</v>
      </c>
    </row>
    <row r="76" spans="1:3" x14ac:dyDescent="0.25">
      <c r="A76" s="160" t="s">
        <v>56</v>
      </c>
      <c r="B76" s="160">
        <v>414</v>
      </c>
      <c r="C76" s="10">
        <v>0.73144876325088337</v>
      </c>
    </row>
    <row r="77" spans="1:3" x14ac:dyDescent="0.25">
      <c r="A77" s="160" t="s">
        <v>11</v>
      </c>
      <c r="B77" s="160">
        <v>274</v>
      </c>
      <c r="C77" s="10">
        <v>0.78962536023054752</v>
      </c>
    </row>
    <row r="78" spans="1:3" x14ac:dyDescent="0.25">
      <c r="A78" s="160" t="s">
        <v>36</v>
      </c>
      <c r="B78" s="160">
        <v>94</v>
      </c>
      <c r="C78" s="10">
        <v>0.4845360824742268</v>
      </c>
    </row>
    <row r="79" spans="1:3" x14ac:dyDescent="0.25">
      <c r="A79" s="160" t="s">
        <v>57</v>
      </c>
      <c r="B79" s="160">
        <v>178</v>
      </c>
      <c r="C79" s="10">
        <v>0.72064777327935226</v>
      </c>
    </row>
    <row r="80" spans="1:3" x14ac:dyDescent="0.25">
      <c r="A80" s="160" t="s">
        <v>60</v>
      </c>
      <c r="B80" s="160">
        <v>6</v>
      </c>
      <c r="C80" s="10">
        <v>0.66666666666666663</v>
      </c>
    </row>
    <row r="81" spans="1:3" x14ac:dyDescent="0.25">
      <c r="A81" s="160" t="s">
        <v>58</v>
      </c>
      <c r="B81" s="160">
        <v>29</v>
      </c>
      <c r="C81" s="10">
        <v>0.5</v>
      </c>
    </row>
    <row r="82" spans="1:3" x14ac:dyDescent="0.25">
      <c r="A82" s="160" t="s">
        <v>69</v>
      </c>
      <c r="B82" s="160">
        <v>3</v>
      </c>
      <c r="C82" s="10">
        <v>0.6</v>
      </c>
    </row>
    <row r="83" spans="1:3" x14ac:dyDescent="0.25">
      <c r="A83" s="160" t="s">
        <v>293</v>
      </c>
      <c r="B83" s="160">
        <v>4</v>
      </c>
      <c r="C83" s="10">
        <v>0.33333333333333331</v>
      </c>
    </row>
    <row r="84" spans="1:3" x14ac:dyDescent="0.25">
      <c r="A84" s="543" t="s">
        <v>66</v>
      </c>
      <c r="B84" s="160">
        <v>74</v>
      </c>
      <c r="C84" s="10">
        <v>0.67889908256880738</v>
      </c>
    </row>
    <row r="85" spans="1:3" x14ac:dyDescent="0.25">
      <c r="A85" s="160" t="s">
        <v>497</v>
      </c>
      <c r="B85" s="160">
        <v>1</v>
      </c>
      <c r="C85" s="10">
        <v>1</v>
      </c>
    </row>
    <row r="86" spans="1:3" x14ac:dyDescent="0.25">
      <c r="A86" s="160" t="s">
        <v>70</v>
      </c>
      <c r="B86" s="160">
        <v>6041</v>
      </c>
      <c r="C86" s="10">
        <v>0.63455882352941173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92D050"/>
  </sheetPr>
  <dimension ref="A1:C78"/>
  <sheetViews>
    <sheetView topLeftCell="A40" workbookViewId="0">
      <selection activeCell="F56" sqref="F56"/>
    </sheetView>
  </sheetViews>
  <sheetFormatPr defaultRowHeight="15" x14ac:dyDescent="0.25"/>
  <cols>
    <col min="1" max="1" width="28" style="160" bestFit="1" customWidth="1"/>
    <col min="2" max="2" width="24.28515625" style="437" bestFit="1" customWidth="1"/>
    <col min="3" max="3" width="25.28515625" style="15" bestFit="1" customWidth="1"/>
  </cols>
  <sheetData>
    <row r="1" spans="1:3" s="160" customFormat="1" x14ac:dyDescent="0.25">
      <c r="A1" s="172" t="s">
        <v>287</v>
      </c>
      <c r="B1" s="173" t="s">
        <v>288</v>
      </c>
      <c r="C1" s="527" t="s">
        <v>289</v>
      </c>
    </row>
    <row r="2" spans="1:3" s="160" customFormat="1" x14ac:dyDescent="0.25">
      <c r="A2" s="558" t="s">
        <v>2</v>
      </c>
      <c r="B2" s="560">
        <v>18</v>
      </c>
      <c r="C2" s="561">
        <v>0.62068965517241381</v>
      </c>
    </row>
    <row r="3" spans="1:3" s="160" customFormat="1" x14ac:dyDescent="0.25">
      <c r="A3" s="558" t="s">
        <v>4</v>
      </c>
      <c r="B3" s="562">
        <v>2</v>
      </c>
      <c r="C3" s="563">
        <v>0.5</v>
      </c>
    </row>
    <row r="4" spans="1:3" s="160" customFormat="1" x14ac:dyDescent="0.25">
      <c r="A4" s="558" t="s">
        <v>6</v>
      </c>
      <c r="B4" s="562">
        <v>959</v>
      </c>
      <c r="C4" s="563">
        <v>0.89458955223880599</v>
      </c>
    </row>
    <row r="5" spans="1:3" s="160" customFormat="1" x14ac:dyDescent="0.25">
      <c r="A5" s="558" t="s">
        <v>12</v>
      </c>
      <c r="B5" s="562">
        <v>1209</v>
      </c>
      <c r="C5" s="563">
        <v>0.7408088235294118</v>
      </c>
    </row>
    <row r="6" spans="1:3" s="160" customFormat="1" x14ac:dyDescent="0.25">
      <c r="A6" s="558" t="s">
        <v>22</v>
      </c>
      <c r="B6" s="562">
        <v>1428</v>
      </c>
      <c r="C6" s="563">
        <v>0.86336154776299878</v>
      </c>
    </row>
    <row r="7" spans="1:3" s="160" customFormat="1" x14ac:dyDescent="0.25">
      <c r="A7" s="558" t="s">
        <v>37</v>
      </c>
      <c r="B7" s="562">
        <v>10</v>
      </c>
      <c r="C7" s="563">
        <v>0.66666666666666663</v>
      </c>
    </row>
    <row r="8" spans="1:3" s="160" customFormat="1" x14ac:dyDescent="0.25">
      <c r="A8" s="558" t="s">
        <v>39</v>
      </c>
      <c r="B8" s="562">
        <v>70</v>
      </c>
      <c r="C8" s="563">
        <v>0.8045977011494253</v>
      </c>
    </row>
    <row r="9" spans="1:3" s="160" customFormat="1" x14ac:dyDescent="0.25">
      <c r="A9" s="558" t="s">
        <v>41</v>
      </c>
      <c r="B9" s="562">
        <v>1407</v>
      </c>
      <c r="C9" s="563">
        <v>0.85792682926829267</v>
      </c>
    </row>
    <row r="10" spans="1:3" s="160" customFormat="1" x14ac:dyDescent="0.25">
      <c r="A10" s="558" t="s">
        <v>61</v>
      </c>
      <c r="B10" s="562">
        <v>526</v>
      </c>
      <c r="C10" s="563">
        <v>0.8930390492359932</v>
      </c>
    </row>
    <row r="11" spans="1:3" s="160" customFormat="1" x14ac:dyDescent="0.25">
      <c r="A11" s="559" t="s">
        <v>59</v>
      </c>
      <c r="B11" s="562">
        <v>1</v>
      </c>
      <c r="C11" s="563">
        <v>0.125</v>
      </c>
    </row>
    <row r="12" spans="1:3" s="160" customFormat="1" x14ac:dyDescent="0.25">
      <c r="A12" s="174" t="s">
        <v>292</v>
      </c>
      <c r="B12" s="562"/>
      <c r="C12" s="563">
        <v>0</v>
      </c>
    </row>
    <row r="13" spans="1:3" s="160" customFormat="1" x14ac:dyDescent="0.25">
      <c r="A13" s="174" t="s">
        <v>280</v>
      </c>
      <c r="B13" s="562">
        <v>2</v>
      </c>
      <c r="C13" s="563">
        <v>0.5</v>
      </c>
    </row>
    <row r="14" spans="1:3" s="160" customFormat="1" x14ac:dyDescent="0.25">
      <c r="A14" s="160" t="s">
        <v>70</v>
      </c>
      <c r="B14" s="160">
        <f>SUM(B2:B13)</f>
        <v>5632</v>
      </c>
      <c r="C14" s="564">
        <v>0.83498888065233501</v>
      </c>
    </row>
    <row r="15" spans="1:3" s="160" customFormat="1" x14ac:dyDescent="0.25">
      <c r="C15" s="10"/>
    </row>
    <row r="16" spans="1:3" s="160" customFormat="1" x14ac:dyDescent="0.25">
      <c r="C16" s="10"/>
    </row>
    <row r="17" spans="1:3" ht="27.75" customHeight="1" x14ac:dyDescent="0.25">
      <c r="A17" s="172" t="s">
        <v>287</v>
      </c>
      <c r="B17" s="173" t="s">
        <v>288</v>
      </c>
      <c r="C17" s="527" t="s">
        <v>289</v>
      </c>
    </row>
    <row r="18" spans="1:3" x14ac:dyDescent="0.25">
      <c r="A18" s="160" t="s">
        <v>23</v>
      </c>
      <c r="B18" s="160">
        <v>151</v>
      </c>
      <c r="C18" s="10">
        <v>0.90963855421686746</v>
      </c>
    </row>
    <row r="19" spans="1:3" x14ac:dyDescent="0.25">
      <c r="A19" s="160" t="s">
        <v>62</v>
      </c>
      <c r="B19" s="160">
        <v>98</v>
      </c>
      <c r="C19" s="10">
        <v>0.8990825688073395</v>
      </c>
    </row>
    <row r="20" spans="1:3" x14ac:dyDescent="0.25">
      <c r="A20" s="160" t="s">
        <v>42</v>
      </c>
      <c r="B20" s="160">
        <v>17</v>
      </c>
      <c r="C20" s="10">
        <v>0.94444444444444442</v>
      </c>
    </row>
    <row r="21" spans="1:3" x14ac:dyDescent="0.25">
      <c r="A21" s="160" t="s">
        <v>63</v>
      </c>
      <c r="B21" s="160">
        <v>23</v>
      </c>
      <c r="C21" s="10">
        <v>0.67647058823529416</v>
      </c>
    </row>
    <row r="22" spans="1:3" x14ac:dyDescent="0.25">
      <c r="A22" s="160" t="s">
        <v>13</v>
      </c>
      <c r="B22" s="160">
        <v>40</v>
      </c>
      <c r="C22" s="10">
        <v>0.61538461538461542</v>
      </c>
    </row>
    <row r="23" spans="1:3" x14ac:dyDescent="0.25">
      <c r="A23" s="160" t="s">
        <v>3</v>
      </c>
      <c r="B23" s="160">
        <v>18</v>
      </c>
      <c r="C23" s="10">
        <v>0.62068965517241381</v>
      </c>
    </row>
    <row r="24" spans="1:3" x14ac:dyDescent="0.25">
      <c r="A24" s="160" t="s">
        <v>24</v>
      </c>
      <c r="B24" s="160">
        <v>115</v>
      </c>
      <c r="C24" s="10">
        <v>0.75657894736842102</v>
      </c>
    </row>
    <row r="25" spans="1:3" x14ac:dyDescent="0.25">
      <c r="A25" s="160" t="s">
        <v>43</v>
      </c>
      <c r="B25" s="160">
        <v>202</v>
      </c>
      <c r="C25" s="10">
        <v>0.88209606986899558</v>
      </c>
    </row>
    <row r="26" spans="1:3" x14ac:dyDescent="0.25">
      <c r="A26" s="160" t="s">
        <v>5</v>
      </c>
      <c r="B26" s="160">
        <v>2</v>
      </c>
      <c r="C26" s="10">
        <v>0.5</v>
      </c>
    </row>
    <row r="27" spans="1:3" x14ac:dyDescent="0.25">
      <c r="A27" s="160" t="s">
        <v>14</v>
      </c>
      <c r="B27" s="160">
        <v>9</v>
      </c>
      <c r="C27" s="10">
        <v>0.42857142857142855</v>
      </c>
    </row>
    <row r="28" spans="1:3" s="16" customFormat="1" x14ac:dyDescent="0.25">
      <c r="A28" s="160" t="s">
        <v>44</v>
      </c>
      <c r="B28" s="160">
        <v>48</v>
      </c>
      <c r="C28" s="10">
        <v>0.84210526315789469</v>
      </c>
    </row>
    <row r="29" spans="1:3" x14ac:dyDescent="0.25">
      <c r="A29" s="160" t="s">
        <v>64</v>
      </c>
      <c r="B29" s="160">
        <v>67</v>
      </c>
      <c r="C29" s="10">
        <v>0.93055555555555558</v>
      </c>
    </row>
    <row r="30" spans="1:3" x14ac:dyDescent="0.25">
      <c r="A30" s="160" t="s">
        <v>15</v>
      </c>
      <c r="B30" s="160">
        <v>5</v>
      </c>
      <c r="C30" s="10">
        <v>0.41666666666666669</v>
      </c>
    </row>
    <row r="31" spans="1:3" ht="27.75" customHeight="1" x14ac:dyDescent="0.25">
      <c r="A31" s="160" t="s">
        <v>45</v>
      </c>
      <c r="B31" s="160">
        <v>176</v>
      </c>
      <c r="C31" s="10">
        <v>0.77192982456140347</v>
      </c>
    </row>
    <row r="32" spans="1:3" hidden="1" x14ac:dyDescent="0.25">
      <c r="A32" s="160" t="s">
        <v>46</v>
      </c>
      <c r="B32" s="160">
        <v>27</v>
      </c>
      <c r="C32" s="10">
        <v>0.93103448275862066</v>
      </c>
    </row>
    <row r="33" spans="1:3" hidden="1" x14ac:dyDescent="0.25">
      <c r="A33" s="160" t="s">
        <v>47</v>
      </c>
      <c r="B33" s="160">
        <v>31</v>
      </c>
      <c r="C33" s="10">
        <v>0.93939393939393945</v>
      </c>
    </row>
    <row r="34" spans="1:3" hidden="1" x14ac:dyDescent="0.25">
      <c r="A34" s="160" t="s">
        <v>25</v>
      </c>
      <c r="B34" s="160">
        <v>31</v>
      </c>
      <c r="C34" s="10">
        <v>0.93939393939393945</v>
      </c>
    </row>
    <row r="35" spans="1:3" hidden="1" x14ac:dyDescent="0.25">
      <c r="A35" s="160" t="s">
        <v>16</v>
      </c>
      <c r="B35" s="160">
        <v>100</v>
      </c>
      <c r="C35" s="10">
        <v>0.80645161290322576</v>
      </c>
    </row>
    <row r="36" spans="1:3" hidden="1" x14ac:dyDescent="0.25">
      <c r="A36" s="160" t="s">
        <v>17</v>
      </c>
      <c r="B36" s="160">
        <v>98</v>
      </c>
      <c r="C36" s="10">
        <v>0.80327868852459017</v>
      </c>
    </row>
    <row r="37" spans="1:3" x14ac:dyDescent="0.25">
      <c r="A37" s="160" t="s">
        <v>26</v>
      </c>
      <c r="B37" s="160">
        <v>193</v>
      </c>
      <c r="C37" s="10">
        <v>0.86936936936936937</v>
      </c>
    </row>
    <row r="38" spans="1:3" x14ac:dyDescent="0.25">
      <c r="A38" s="160" t="s">
        <v>27</v>
      </c>
      <c r="B38" s="160">
        <v>93</v>
      </c>
      <c r="C38" s="10">
        <v>0.97894736842105268</v>
      </c>
    </row>
    <row r="39" spans="1:3" x14ac:dyDescent="0.25">
      <c r="A39" s="160" t="s">
        <v>48</v>
      </c>
      <c r="B39" s="160">
        <v>52</v>
      </c>
      <c r="C39" s="10">
        <v>0.91228070175438591</v>
      </c>
    </row>
    <row r="40" spans="1:3" x14ac:dyDescent="0.25">
      <c r="A40" s="160" t="s">
        <v>28</v>
      </c>
      <c r="B40" s="160">
        <v>89</v>
      </c>
      <c r="C40" s="10">
        <v>0.82407407407407407</v>
      </c>
    </row>
    <row r="41" spans="1:3" x14ac:dyDescent="0.25">
      <c r="A41" s="160" t="s">
        <v>49</v>
      </c>
      <c r="B41" s="160">
        <v>71</v>
      </c>
      <c r="C41" s="10">
        <v>0.89873417721518989</v>
      </c>
    </row>
    <row r="42" spans="1:3" x14ac:dyDescent="0.25">
      <c r="A42" s="160" t="s">
        <v>65</v>
      </c>
      <c r="B42" s="160">
        <v>32</v>
      </c>
      <c r="C42" s="10">
        <v>0.86486486486486491</v>
      </c>
    </row>
    <row r="43" spans="1:3" x14ac:dyDescent="0.25">
      <c r="A43" s="543" t="s">
        <v>66</v>
      </c>
      <c r="B43" s="160">
        <v>79</v>
      </c>
      <c r="C43" s="10">
        <v>0.95180722891566261</v>
      </c>
    </row>
    <row r="44" spans="1:3" x14ac:dyDescent="0.25">
      <c r="A44" s="160" t="s">
        <v>29</v>
      </c>
      <c r="B44" s="160">
        <v>54</v>
      </c>
      <c r="C44" s="10">
        <v>0.78260869565217395</v>
      </c>
    </row>
    <row r="45" spans="1:3" x14ac:dyDescent="0.25">
      <c r="A45" s="160" t="s">
        <v>30</v>
      </c>
      <c r="B45" s="160">
        <v>228</v>
      </c>
      <c r="C45" s="10">
        <v>0.93827160493827155</v>
      </c>
    </row>
    <row r="46" spans="1:3" x14ac:dyDescent="0.25">
      <c r="A46" s="160" t="s">
        <v>7</v>
      </c>
      <c r="B46" s="160">
        <v>177</v>
      </c>
      <c r="C46" s="10">
        <v>0.89847715736040612</v>
      </c>
    </row>
    <row r="47" spans="1:3" x14ac:dyDescent="0.25">
      <c r="A47" s="160" t="s">
        <v>31</v>
      </c>
      <c r="B47" s="160">
        <v>42</v>
      </c>
      <c r="C47" s="10">
        <v>0.93333333333333335</v>
      </c>
    </row>
    <row r="48" spans="1:3" x14ac:dyDescent="0.25">
      <c r="A48" s="160" t="s">
        <v>281</v>
      </c>
      <c r="B48" s="160">
        <v>2</v>
      </c>
      <c r="C48" s="10">
        <v>0.5</v>
      </c>
    </row>
    <row r="49" spans="1:3" x14ac:dyDescent="0.25">
      <c r="A49" s="160" t="s">
        <v>8</v>
      </c>
      <c r="B49" s="160">
        <v>200</v>
      </c>
      <c r="C49" s="10">
        <v>0.88495575221238942</v>
      </c>
    </row>
    <row r="50" spans="1:3" x14ac:dyDescent="0.25">
      <c r="A50" s="160" t="s">
        <v>18</v>
      </c>
      <c r="B50" s="160">
        <v>158</v>
      </c>
      <c r="C50" s="10">
        <v>0.84042553191489366</v>
      </c>
    </row>
    <row r="51" spans="1:3" x14ac:dyDescent="0.25">
      <c r="A51" s="160" t="s">
        <v>293</v>
      </c>
      <c r="B51" s="160"/>
      <c r="C51" s="10">
        <v>0</v>
      </c>
    </row>
    <row r="52" spans="1:3" x14ac:dyDescent="0.25">
      <c r="A52" s="160" t="s">
        <v>67</v>
      </c>
      <c r="B52" s="160">
        <v>135</v>
      </c>
      <c r="C52" s="10">
        <v>0.87096774193548387</v>
      </c>
    </row>
    <row r="53" spans="1:3" x14ac:dyDescent="0.25">
      <c r="A53" s="160" t="s">
        <v>32</v>
      </c>
      <c r="B53" s="160">
        <v>8</v>
      </c>
      <c r="C53" s="10">
        <v>0.53333333333333333</v>
      </c>
    </row>
    <row r="54" spans="1:3" x14ac:dyDescent="0.25">
      <c r="A54" s="160" t="s">
        <v>68</v>
      </c>
      <c r="B54" s="160">
        <v>89</v>
      </c>
      <c r="C54" s="10">
        <v>0.92708333333333337</v>
      </c>
    </row>
    <row r="55" spans="1:3" x14ac:dyDescent="0.25">
      <c r="A55" s="160" t="s">
        <v>33</v>
      </c>
      <c r="B55" s="160">
        <v>77</v>
      </c>
      <c r="C55" s="10">
        <v>0.82795698924731187</v>
      </c>
    </row>
    <row r="56" spans="1:3" x14ac:dyDescent="0.25">
      <c r="A56" s="160" t="s">
        <v>34</v>
      </c>
      <c r="B56" s="160">
        <v>114</v>
      </c>
      <c r="C56" s="10">
        <v>0.890625</v>
      </c>
    </row>
    <row r="57" spans="1:3" x14ac:dyDescent="0.25">
      <c r="A57" s="160" t="s">
        <v>50</v>
      </c>
      <c r="B57" s="160">
        <v>47</v>
      </c>
      <c r="C57" s="10">
        <v>0.72307692307692306</v>
      </c>
    </row>
    <row r="58" spans="1:3" x14ac:dyDescent="0.25">
      <c r="A58" s="160" t="s">
        <v>19</v>
      </c>
      <c r="B58" s="160">
        <v>76</v>
      </c>
      <c r="C58" s="10">
        <v>0.62295081967213117</v>
      </c>
    </row>
    <row r="59" spans="1:3" x14ac:dyDescent="0.25">
      <c r="A59" s="160" t="s">
        <v>51</v>
      </c>
      <c r="B59" s="160">
        <v>6</v>
      </c>
      <c r="C59" s="10">
        <v>1</v>
      </c>
    </row>
    <row r="60" spans="1:3" x14ac:dyDescent="0.25">
      <c r="A60" s="160" t="s">
        <v>35</v>
      </c>
      <c r="B60" s="160">
        <v>129</v>
      </c>
      <c r="C60" s="10">
        <v>0.84868421052631582</v>
      </c>
    </row>
    <row r="61" spans="1:3" x14ac:dyDescent="0.25">
      <c r="A61" s="160" t="s">
        <v>20</v>
      </c>
      <c r="B61" s="160">
        <v>201</v>
      </c>
      <c r="C61" s="10">
        <v>0.87391304347826082</v>
      </c>
    </row>
    <row r="62" spans="1:3" x14ac:dyDescent="0.25">
      <c r="A62" s="160" t="s">
        <v>52</v>
      </c>
      <c r="B62" s="160">
        <v>67</v>
      </c>
      <c r="C62" s="10">
        <v>1</v>
      </c>
    </row>
    <row r="63" spans="1:3" x14ac:dyDescent="0.25">
      <c r="A63" s="160" t="s">
        <v>53</v>
      </c>
      <c r="B63" s="160">
        <v>13</v>
      </c>
      <c r="C63" s="10">
        <v>1</v>
      </c>
    </row>
    <row r="64" spans="1:3" x14ac:dyDescent="0.25">
      <c r="A64" s="160" t="s">
        <v>9</v>
      </c>
      <c r="B64" s="160">
        <v>203</v>
      </c>
      <c r="C64" s="10">
        <v>0.81854838709677424</v>
      </c>
    </row>
    <row r="65" spans="1:3" x14ac:dyDescent="0.25">
      <c r="A65" s="160" t="s">
        <v>10</v>
      </c>
      <c r="B65" s="160">
        <v>123</v>
      </c>
      <c r="C65" s="10">
        <v>0.92481203007518797</v>
      </c>
    </row>
    <row r="66" spans="1:3" x14ac:dyDescent="0.25">
      <c r="A66" s="160" t="s">
        <v>54</v>
      </c>
      <c r="B66" s="160">
        <v>43</v>
      </c>
      <c r="C66" s="10">
        <v>0.84313725490196079</v>
      </c>
    </row>
    <row r="67" spans="1:3" x14ac:dyDescent="0.25">
      <c r="A67" s="160" t="s">
        <v>38</v>
      </c>
      <c r="B67" s="160">
        <v>10</v>
      </c>
      <c r="C67" s="10">
        <v>0.66666666666666663</v>
      </c>
    </row>
    <row r="68" spans="1:3" x14ac:dyDescent="0.25">
      <c r="A68" s="160" t="s">
        <v>40</v>
      </c>
      <c r="B68" s="160">
        <v>70</v>
      </c>
      <c r="C68" s="10">
        <v>0.8045977011494253</v>
      </c>
    </row>
    <row r="69" spans="1:3" x14ac:dyDescent="0.25">
      <c r="A69" s="160" t="s">
        <v>21</v>
      </c>
      <c r="B69" s="160">
        <v>522</v>
      </c>
      <c r="C69" s="10">
        <v>0.69786096256684493</v>
      </c>
    </row>
    <row r="70" spans="1:3" x14ac:dyDescent="0.25">
      <c r="A70" s="160" t="s">
        <v>55</v>
      </c>
      <c r="B70" s="160">
        <v>31</v>
      </c>
      <c r="C70" s="10">
        <v>0.81578947368421051</v>
      </c>
    </row>
    <row r="71" spans="1:3" x14ac:dyDescent="0.25">
      <c r="A71" s="160" t="s">
        <v>56</v>
      </c>
      <c r="B71" s="160">
        <v>394</v>
      </c>
      <c r="C71" s="10">
        <v>0.84368308351177734</v>
      </c>
    </row>
    <row r="72" spans="1:3" x14ac:dyDescent="0.25">
      <c r="A72" s="160" t="s">
        <v>11</v>
      </c>
      <c r="B72" s="160">
        <v>256</v>
      </c>
      <c r="C72" s="10">
        <v>0.95522388059701491</v>
      </c>
    </row>
    <row r="73" spans="1:3" x14ac:dyDescent="0.25">
      <c r="A73" s="160" t="s">
        <v>36</v>
      </c>
      <c r="B73" s="160">
        <v>104</v>
      </c>
      <c r="C73" s="10">
        <v>0.78195488721804507</v>
      </c>
    </row>
    <row r="74" spans="1:3" x14ac:dyDescent="0.25">
      <c r="A74" s="160" t="s">
        <v>57</v>
      </c>
      <c r="B74" s="160">
        <v>152</v>
      </c>
      <c r="C74" s="10">
        <v>0.91566265060240959</v>
      </c>
    </row>
    <row r="75" spans="1:3" x14ac:dyDescent="0.25">
      <c r="A75" s="160" t="s">
        <v>60</v>
      </c>
      <c r="B75" s="160">
        <v>1</v>
      </c>
      <c r="C75" s="10">
        <v>0.125</v>
      </c>
    </row>
    <row r="76" spans="1:3" x14ac:dyDescent="0.25">
      <c r="A76" s="160" t="s">
        <v>58</v>
      </c>
      <c r="B76" s="160">
        <v>30</v>
      </c>
      <c r="C76" s="10">
        <v>0.81081081081081086</v>
      </c>
    </row>
    <row r="77" spans="1:3" x14ac:dyDescent="0.25">
      <c r="A77" s="160" t="s">
        <v>69</v>
      </c>
      <c r="B77" s="160">
        <v>3</v>
      </c>
      <c r="C77" s="10">
        <v>1</v>
      </c>
    </row>
    <row r="78" spans="1:3" x14ac:dyDescent="0.25">
      <c r="A78" s="160" t="s">
        <v>70</v>
      </c>
      <c r="B78" s="160">
        <f>SUM(B18:B77)</f>
        <v>5632</v>
      </c>
      <c r="C78" s="564">
        <v>0.83498888065233501</v>
      </c>
    </row>
  </sheetData>
  <sortState xmlns:xlrd2="http://schemas.microsoft.com/office/spreadsheetml/2017/richdata2" ref="A18:C75">
    <sortCondition ref="A18:A7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92D050"/>
  </sheetPr>
  <dimension ref="A1:Y82"/>
  <sheetViews>
    <sheetView topLeftCell="A58" zoomScaleNormal="100" workbookViewId="0">
      <selection activeCell="A46" sqref="A46"/>
    </sheetView>
  </sheetViews>
  <sheetFormatPr defaultColWidth="9.140625" defaultRowHeight="15" x14ac:dyDescent="0.25"/>
  <cols>
    <col min="1" max="1" width="31.85546875" style="160" customWidth="1"/>
    <col min="2" max="2" width="1.7109375" style="160" customWidth="1"/>
    <col min="3" max="3" width="9.140625" style="160" customWidth="1"/>
    <col min="4" max="4" width="12.7109375" style="160" customWidth="1"/>
    <col min="5" max="5" width="12.42578125" style="160" customWidth="1"/>
    <col min="6" max="6" width="7.5703125" style="74" customWidth="1"/>
    <col min="7" max="7" width="8.85546875" style="74" customWidth="1"/>
    <col min="8" max="8" width="7.5703125" style="74" customWidth="1"/>
    <col min="9" max="9" width="10.5703125" style="74" customWidth="1"/>
    <col min="10" max="10" width="8.85546875" style="74" customWidth="1"/>
    <col min="11" max="11" width="7.5703125" style="74" customWidth="1"/>
    <col min="12" max="12" width="8.85546875" style="74" customWidth="1"/>
    <col min="13" max="13" width="7.5703125" style="74" customWidth="1"/>
    <col min="14" max="14" width="10.5703125" style="74" customWidth="1"/>
    <col min="15" max="15" width="8.85546875" style="74" customWidth="1"/>
    <col min="16" max="16" width="7.5703125" style="74" customWidth="1"/>
    <col min="17" max="17" width="8.85546875" style="74" customWidth="1"/>
    <col min="18" max="18" width="7.5703125" style="74" customWidth="1"/>
    <col min="19" max="19" width="10.5703125" style="74" customWidth="1"/>
    <col min="20" max="20" width="8.85546875" style="74" customWidth="1"/>
    <col min="21" max="21" width="7.5703125" style="74" customWidth="1"/>
    <col min="22" max="22" width="8.85546875" style="74" customWidth="1"/>
    <col min="23" max="23" width="7.5703125" style="74" customWidth="1"/>
    <col min="24" max="24" width="10.5703125" style="74" customWidth="1"/>
    <col min="25" max="25" width="8.85546875" style="74" customWidth="1"/>
    <col min="26" max="26" width="13" style="74" customWidth="1"/>
    <col min="27" max="16384" width="9.140625" style="74"/>
  </cols>
  <sheetData>
    <row r="1" spans="1:25" x14ac:dyDescent="0.25">
      <c r="A1" s="1" t="s">
        <v>424</v>
      </c>
    </row>
    <row r="2" spans="1:25" x14ac:dyDescent="0.25">
      <c r="A2" s="161" t="s">
        <v>0</v>
      </c>
    </row>
    <row r="3" spans="1:25" x14ac:dyDescent="0.25">
      <c r="A3" s="182" t="s">
        <v>74</v>
      </c>
      <c r="B3" s="165"/>
      <c r="C3" s="182" t="s">
        <v>290</v>
      </c>
      <c r="D3" s="182" t="s">
        <v>1</v>
      </c>
      <c r="E3" s="175" t="s">
        <v>291</v>
      </c>
    </row>
    <row r="4" spans="1:25" x14ac:dyDescent="0.25">
      <c r="A4" s="4" t="s">
        <v>2</v>
      </c>
      <c r="B4" s="176"/>
      <c r="C4" s="177">
        <v>44</v>
      </c>
      <c r="D4" s="2">
        <v>2.1214878853372799E-2</v>
      </c>
      <c r="E4" s="178">
        <v>4182.7961301369896</v>
      </c>
    </row>
    <row r="5" spans="1:25" x14ac:dyDescent="0.25">
      <c r="A5" s="4" t="s">
        <v>4</v>
      </c>
      <c r="B5" s="176"/>
      <c r="C5" s="177">
        <v>4</v>
      </c>
      <c r="D5" s="2">
        <v>0</v>
      </c>
      <c r="E5" s="178">
        <v>0</v>
      </c>
    </row>
    <row r="6" spans="1:25" x14ac:dyDescent="0.25">
      <c r="A6" s="4" t="s">
        <v>6</v>
      </c>
      <c r="B6" s="176"/>
      <c r="C6" s="177">
        <v>1575</v>
      </c>
      <c r="D6" s="2">
        <v>1.2872952824090801E-2</v>
      </c>
      <c r="E6" s="178">
        <v>150453.26544931499</v>
      </c>
    </row>
    <row r="7" spans="1:25" ht="15" customHeight="1" x14ac:dyDescent="0.25">
      <c r="A7" s="4" t="s">
        <v>12</v>
      </c>
      <c r="B7" s="176"/>
      <c r="C7" s="177">
        <v>2277</v>
      </c>
      <c r="D7" s="2">
        <v>1.52463499404288E-2</v>
      </c>
      <c r="E7" s="178">
        <v>213323.18782597801</v>
      </c>
      <c r="F7" s="659"/>
      <c r="G7" s="659"/>
      <c r="H7" s="659"/>
      <c r="I7" s="659"/>
      <c r="J7" s="659"/>
      <c r="K7" s="659"/>
      <c r="L7" s="659"/>
      <c r="M7" s="659"/>
      <c r="N7" s="659"/>
      <c r="O7" s="659"/>
      <c r="P7" s="659"/>
      <c r="Q7" s="659"/>
      <c r="R7" s="659"/>
      <c r="S7" s="659"/>
      <c r="T7" s="659"/>
      <c r="U7" s="659"/>
      <c r="V7" s="659"/>
      <c r="W7" s="659"/>
      <c r="X7" s="659"/>
      <c r="Y7" s="659"/>
    </row>
    <row r="8" spans="1:25" x14ac:dyDescent="0.25">
      <c r="A8" s="4" t="s">
        <v>280</v>
      </c>
      <c r="B8" s="176"/>
      <c r="C8" s="177">
        <v>7</v>
      </c>
      <c r="D8" s="2">
        <v>0</v>
      </c>
      <c r="E8" s="178">
        <v>0</v>
      </c>
      <c r="F8" s="75"/>
      <c r="G8" s="75"/>
      <c r="H8" s="75"/>
      <c r="I8" s="75"/>
      <c r="J8" s="75"/>
      <c r="K8" s="75"/>
      <c r="L8" s="75"/>
      <c r="M8" s="75"/>
      <c r="N8" s="75"/>
      <c r="O8" s="75"/>
      <c r="P8" s="75"/>
      <c r="Q8" s="75"/>
      <c r="R8" s="75"/>
      <c r="S8" s="75"/>
      <c r="T8" s="75"/>
      <c r="U8" s="75"/>
      <c r="V8" s="75"/>
      <c r="W8" s="75"/>
      <c r="X8" s="75"/>
      <c r="Y8" s="75"/>
    </row>
    <row r="9" spans="1:25" x14ac:dyDescent="0.25">
      <c r="A9" s="4" t="s">
        <v>292</v>
      </c>
      <c r="B9" s="176"/>
      <c r="C9" s="177">
        <v>13</v>
      </c>
      <c r="D9" s="2">
        <v>0</v>
      </c>
      <c r="E9" s="178">
        <v>0</v>
      </c>
      <c r="F9" s="76"/>
      <c r="G9" s="76"/>
      <c r="H9" s="77"/>
      <c r="I9" s="78"/>
      <c r="J9" s="79"/>
      <c r="K9" s="76"/>
      <c r="L9" s="76"/>
      <c r="M9" s="77"/>
      <c r="N9" s="78"/>
      <c r="O9" s="79"/>
      <c r="P9" s="76"/>
      <c r="Q9" s="76"/>
      <c r="R9" s="77"/>
      <c r="S9" s="78"/>
      <c r="T9" s="79"/>
      <c r="U9" s="76"/>
      <c r="V9" s="76"/>
      <c r="W9" s="77"/>
      <c r="X9" s="78"/>
      <c r="Y9" s="79"/>
    </row>
    <row r="10" spans="1:25" x14ac:dyDescent="0.25">
      <c r="A10" s="4" t="s">
        <v>22</v>
      </c>
      <c r="B10" s="176"/>
      <c r="C10" s="177">
        <v>2939</v>
      </c>
      <c r="D10" s="2">
        <v>1.6110917238040898E-2</v>
      </c>
      <c r="E10" s="178">
        <v>310103.61123594601</v>
      </c>
      <c r="F10" s="76"/>
      <c r="G10" s="76"/>
      <c r="H10" s="77"/>
      <c r="I10" s="78"/>
      <c r="J10" s="79"/>
      <c r="K10" s="76"/>
      <c r="L10" s="76"/>
      <c r="M10" s="77"/>
      <c r="N10" s="78"/>
      <c r="O10" s="79"/>
      <c r="P10" s="76"/>
      <c r="Q10" s="76"/>
      <c r="R10" s="77"/>
      <c r="S10" s="78"/>
      <c r="T10" s="79"/>
      <c r="U10" s="76"/>
      <c r="V10" s="76"/>
      <c r="W10" s="77"/>
      <c r="X10" s="78"/>
      <c r="Y10" s="79"/>
    </row>
    <row r="11" spans="1:25" x14ac:dyDescent="0.25">
      <c r="A11" s="4" t="s">
        <v>37</v>
      </c>
      <c r="B11" s="176"/>
      <c r="C11" s="177">
        <v>24</v>
      </c>
      <c r="D11" s="2">
        <v>5.08171160265894E-2</v>
      </c>
      <c r="E11" s="178">
        <v>7545.5753424657496</v>
      </c>
      <c r="F11" s="76"/>
      <c r="G11" s="76"/>
      <c r="H11" s="77"/>
      <c r="I11" s="78"/>
      <c r="J11" s="79"/>
      <c r="K11" s="76"/>
      <c r="L11" s="76"/>
      <c r="M11" s="77"/>
      <c r="N11" s="78"/>
      <c r="O11" s="79"/>
      <c r="P11" s="76"/>
      <c r="Q11" s="76"/>
      <c r="R11" s="77"/>
      <c r="S11" s="78"/>
      <c r="T11" s="79"/>
      <c r="U11" s="76"/>
      <c r="V11" s="76"/>
      <c r="W11" s="77"/>
      <c r="X11" s="78"/>
      <c r="Y11" s="79"/>
    </row>
    <row r="12" spans="1:25" x14ac:dyDescent="0.25">
      <c r="A12" s="4" t="s">
        <v>39</v>
      </c>
      <c r="B12" s="176"/>
      <c r="C12" s="177">
        <v>122</v>
      </c>
      <c r="D12" s="2">
        <v>1.2892607839104101E-2</v>
      </c>
      <c r="E12" s="178">
        <v>12841.8647635616</v>
      </c>
      <c r="F12" s="76"/>
      <c r="G12" s="76"/>
      <c r="H12" s="77"/>
      <c r="I12" s="78"/>
      <c r="J12" s="79"/>
      <c r="K12" s="76"/>
      <c r="L12" s="76"/>
      <c r="M12" s="77"/>
      <c r="N12" s="78"/>
      <c r="O12" s="79"/>
      <c r="P12" s="76"/>
      <c r="Q12" s="76"/>
      <c r="R12" s="77"/>
      <c r="S12" s="78"/>
      <c r="T12" s="79"/>
      <c r="U12" s="76"/>
      <c r="V12" s="76"/>
      <c r="W12" s="77"/>
      <c r="X12" s="78"/>
      <c r="Y12" s="79"/>
    </row>
    <row r="13" spans="1:25" x14ac:dyDescent="0.25">
      <c r="A13" s="4" t="s">
        <v>41</v>
      </c>
      <c r="B13" s="176"/>
      <c r="C13" s="177">
        <v>2829</v>
      </c>
      <c r="D13" s="2">
        <v>1.5149149888317E-2</v>
      </c>
      <c r="E13" s="178">
        <v>390477.20207874803</v>
      </c>
      <c r="F13" s="76"/>
      <c r="G13" s="76"/>
      <c r="H13" s="77"/>
      <c r="I13" s="78"/>
      <c r="J13" s="79"/>
      <c r="K13" s="76"/>
      <c r="L13" s="76"/>
      <c r="M13" s="77"/>
      <c r="N13" s="78"/>
      <c r="O13" s="79"/>
      <c r="P13" s="76"/>
      <c r="Q13" s="76"/>
      <c r="R13" s="77"/>
      <c r="S13" s="78"/>
      <c r="T13" s="79"/>
      <c r="U13" s="76"/>
      <c r="V13" s="76"/>
      <c r="W13" s="77"/>
      <c r="X13" s="78"/>
      <c r="Y13" s="79"/>
    </row>
    <row r="14" spans="1:25" x14ac:dyDescent="0.25">
      <c r="A14" s="4" t="s">
        <v>59</v>
      </c>
      <c r="B14" s="176"/>
      <c r="C14" s="177">
        <v>30</v>
      </c>
      <c r="D14" s="2">
        <v>0</v>
      </c>
      <c r="E14" s="178">
        <v>0</v>
      </c>
      <c r="F14" s="76"/>
      <c r="G14" s="76"/>
      <c r="H14" s="77"/>
      <c r="I14" s="78"/>
      <c r="J14" s="79"/>
      <c r="K14" s="76"/>
      <c r="L14" s="76"/>
      <c r="M14" s="77"/>
      <c r="N14" s="78"/>
      <c r="O14" s="79"/>
      <c r="P14" s="76"/>
      <c r="Q14" s="76"/>
      <c r="R14" s="77"/>
      <c r="S14" s="78"/>
      <c r="T14" s="79"/>
      <c r="U14" s="76"/>
      <c r="V14" s="76"/>
      <c r="W14" s="77"/>
      <c r="X14" s="78"/>
      <c r="Y14" s="79"/>
    </row>
    <row r="15" spans="1:25" x14ac:dyDescent="0.25">
      <c r="A15" s="4" t="s">
        <v>496</v>
      </c>
      <c r="B15" s="176"/>
      <c r="C15" s="177">
        <v>1</v>
      </c>
      <c r="D15" s="2">
        <v>0</v>
      </c>
      <c r="E15" s="178">
        <v>0</v>
      </c>
      <c r="F15" s="76"/>
      <c r="G15" s="76"/>
      <c r="H15" s="77"/>
      <c r="I15" s="78"/>
      <c r="J15" s="79"/>
      <c r="K15" s="76"/>
      <c r="L15" s="76"/>
      <c r="M15" s="77"/>
      <c r="N15" s="78"/>
      <c r="O15" s="79"/>
      <c r="P15" s="76"/>
      <c r="Q15" s="76"/>
      <c r="R15" s="77"/>
      <c r="S15" s="78"/>
      <c r="T15" s="79"/>
      <c r="U15" s="76"/>
      <c r="V15" s="76"/>
      <c r="W15" s="77"/>
      <c r="X15" s="78"/>
      <c r="Y15" s="79"/>
    </row>
    <row r="16" spans="1:25" x14ac:dyDescent="0.25">
      <c r="A16" s="4" t="s">
        <v>61</v>
      </c>
      <c r="B16" s="176"/>
      <c r="C16" s="177">
        <v>944</v>
      </c>
      <c r="D16" s="2">
        <v>1.29194490763773E-2</v>
      </c>
      <c r="E16" s="178">
        <v>104446.17772803101</v>
      </c>
      <c r="F16" s="76"/>
      <c r="G16" s="76"/>
      <c r="H16" s="77"/>
      <c r="I16" s="78"/>
      <c r="J16" s="79"/>
      <c r="K16" s="76"/>
      <c r="L16" s="76"/>
      <c r="M16" s="77"/>
      <c r="N16" s="78"/>
      <c r="O16" s="79"/>
      <c r="P16" s="76"/>
      <c r="Q16" s="76"/>
      <c r="R16" s="77"/>
      <c r="S16" s="78"/>
      <c r="T16" s="79"/>
      <c r="U16" s="76"/>
      <c r="V16" s="76"/>
      <c r="W16" s="77"/>
      <c r="X16" s="78"/>
      <c r="Y16" s="79"/>
    </row>
    <row r="17" spans="1:25" x14ac:dyDescent="0.25">
      <c r="A17" s="438" t="s">
        <v>70</v>
      </c>
      <c r="B17" s="179"/>
      <c r="C17" s="180">
        <v>10809</v>
      </c>
      <c r="D17" s="3">
        <v>1.4917078953787801E-2</v>
      </c>
      <c r="E17" s="181">
        <v>1193373.6805541799</v>
      </c>
      <c r="F17" s="76"/>
      <c r="G17" s="76"/>
      <c r="H17" s="77"/>
      <c r="I17" s="78"/>
      <c r="J17" s="79"/>
      <c r="K17" s="76"/>
      <c r="L17" s="76"/>
      <c r="M17" s="77"/>
      <c r="N17" s="78"/>
      <c r="O17" s="79"/>
      <c r="P17" s="76"/>
      <c r="Q17" s="76"/>
      <c r="R17" s="77"/>
      <c r="S17" s="78"/>
      <c r="T17" s="79"/>
      <c r="U17" s="76"/>
      <c r="V17" s="76"/>
      <c r="W17" s="77"/>
      <c r="X17" s="78"/>
      <c r="Y17" s="79"/>
    </row>
    <row r="18" spans="1:25" x14ac:dyDescent="0.25">
      <c r="F18" s="76"/>
      <c r="G18" s="76"/>
      <c r="H18" s="77"/>
      <c r="I18" s="78"/>
      <c r="J18" s="79"/>
      <c r="K18" s="76"/>
      <c r="L18" s="76"/>
      <c r="M18" s="77"/>
      <c r="N18" s="78"/>
      <c r="O18" s="79"/>
      <c r="P18" s="76"/>
      <c r="Q18" s="76"/>
      <c r="R18" s="77"/>
      <c r="S18" s="78"/>
      <c r="T18" s="79"/>
      <c r="U18" s="76"/>
      <c r="V18" s="76"/>
      <c r="W18" s="77"/>
      <c r="X18" s="78"/>
      <c r="Y18" s="79"/>
    </row>
    <row r="19" spans="1:25" x14ac:dyDescent="0.25">
      <c r="A19" s="182" t="s">
        <v>73</v>
      </c>
      <c r="B19" s="165"/>
      <c r="C19" s="182" t="s">
        <v>290</v>
      </c>
      <c r="D19" s="182" t="s">
        <v>1</v>
      </c>
      <c r="E19" s="175" t="s">
        <v>291</v>
      </c>
      <c r="F19" s="76"/>
      <c r="G19" s="76"/>
      <c r="H19" s="77"/>
      <c r="I19" s="78"/>
      <c r="J19" s="79"/>
      <c r="K19" s="76"/>
      <c r="L19" s="76"/>
      <c r="M19" s="77"/>
      <c r="N19" s="78"/>
      <c r="O19" s="79"/>
      <c r="P19" s="76"/>
      <c r="Q19" s="76"/>
      <c r="R19" s="77"/>
      <c r="S19" s="78"/>
      <c r="T19" s="79"/>
      <c r="U19" s="76"/>
      <c r="V19" s="76"/>
      <c r="W19" s="77"/>
      <c r="X19" s="78"/>
      <c r="Y19" s="79"/>
    </row>
    <row r="20" spans="1:25" x14ac:dyDescent="0.25">
      <c r="A20" s="4" t="s">
        <v>23</v>
      </c>
      <c r="B20" s="176"/>
      <c r="C20" s="177">
        <v>321</v>
      </c>
      <c r="D20" s="2">
        <v>1.01288457144367E-2</v>
      </c>
      <c r="E20" s="178">
        <v>19329.081563219199</v>
      </c>
      <c r="F20" s="76"/>
      <c r="G20" s="76"/>
      <c r="H20" s="77"/>
      <c r="I20" s="78"/>
      <c r="J20" s="79"/>
      <c r="K20" s="76"/>
      <c r="L20" s="76"/>
      <c r="M20" s="77"/>
      <c r="N20" s="78"/>
      <c r="O20" s="79"/>
      <c r="P20" s="76"/>
      <c r="Q20" s="76"/>
      <c r="R20" s="77"/>
      <c r="S20" s="78"/>
      <c r="T20" s="79"/>
      <c r="U20" s="76"/>
      <c r="V20" s="76"/>
      <c r="W20" s="77"/>
      <c r="X20" s="78"/>
      <c r="Y20" s="79"/>
    </row>
    <row r="21" spans="1:25" x14ac:dyDescent="0.25">
      <c r="A21" s="4" t="s">
        <v>62</v>
      </c>
      <c r="B21" s="176"/>
      <c r="C21" s="177">
        <v>203</v>
      </c>
      <c r="D21" s="2">
        <v>1.92959795505307E-3</v>
      </c>
      <c r="E21" s="178">
        <v>2287.9448370547898</v>
      </c>
      <c r="F21" s="76"/>
      <c r="G21" s="76"/>
      <c r="H21" s="77"/>
      <c r="I21" s="78"/>
      <c r="J21" s="79"/>
      <c r="K21" s="76"/>
      <c r="L21" s="76"/>
      <c r="M21" s="77"/>
      <c r="N21" s="78"/>
      <c r="O21" s="79"/>
      <c r="P21" s="76"/>
      <c r="Q21" s="76"/>
      <c r="R21" s="77"/>
      <c r="S21" s="78"/>
      <c r="T21" s="79"/>
      <c r="U21" s="76"/>
      <c r="V21" s="76"/>
      <c r="W21" s="77"/>
      <c r="X21" s="78"/>
      <c r="Y21" s="79"/>
    </row>
    <row r="22" spans="1:25" x14ac:dyDescent="0.25">
      <c r="A22" s="4" t="s">
        <v>42</v>
      </c>
      <c r="B22" s="176"/>
      <c r="C22" s="177">
        <v>165</v>
      </c>
      <c r="D22" s="2">
        <v>1.8338402976019502E-2</v>
      </c>
      <c r="E22" s="178">
        <v>78217.709931506804</v>
      </c>
      <c r="F22" s="76"/>
      <c r="G22" s="76"/>
      <c r="H22" s="77"/>
      <c r="I22" s="78"/>
      <c r="J22" s="79"/>
      <c r="K22" s="76"/>
      <c r="L22" s="76"/>
      <c r="M22" s="77"/>
      <c r="N22" s="78"/>
      <c r="O22" s="79"/>
      <c r="P22" s="76"/>
      <c r="Q22" s="76"/>
      <c r="R22" s="77"/>
      <c r="S22" s="78"/>
      <c r="T22" s="79"/>
      <c r="U22" s="76"/>
      <c r="V22" s="76"/>
      <c r="W22" s="77"/>
      <c r="X22" s="78"/>
      <c r="Y22" s="79"/>
    </row>
    <row r="23" spans="1:25" x14ac:dyDescent="0.25">
      <c r="A23" s="4" t="s">
        <v>63</v>
      </c>
      <c r="B23" s="176"/>
      <c r="C23" s="177">
        <v>48</v>
      </c>
      <c r="D23" s="2">
        <v>1.30632024023074E-2</v>
      </c>
      <c r="E23" s="178">
        <v>2043.3816138356201</v>
      </c>
      <c r="F23" s="76"/>
      <c r="G23" s="76"/>
      <c r="H23" s="77"/>
      <c r="I23" s="78"/>
      <c r="J23" s="79"/>
      <c r="K23" s="76"/>
      <c r="L23" s="76"/>
      <c r="M23" s="77"/>
      <c r="N23" s="78"/>
      <c r="O23" s="79"/>
      <c r="P23" s="76"/>
      <c r="Q23" s="76"/>
      <c r="R23" s="77"/>
      <c r="S23" s="78"/>
      <c r="T23" s="79"/>
      <c r="U23" s="76"/>
      <c r="V23" s="76"/>
      <c r="W23" s="77"/>
      <c r="X23" s="78"/>
      <c r="Y23" s="79"/>
    </row>
    <row r="24" spans="1:25" x14ac:dyDescent="0.25">
      <c r="A24" s="4" t="s">
        <v>13</v>
      </c>
      <c r="B24" s="176"/>
      <c r="C24" s="177">
        <v>73</v>
      </c>
      <c r="D24" s="2">
        <v>0</v>
      </c>
      <c r="E24" s="178">
        <v>0</v>
      </c>
      <c r="F24" s="76"/>
      <c r="G24" s="76"/>
      <c r="H24" s="77"/>
      <c r="I24" s="78"/>
      <c r="J24" s="79"/>
      <c r="K24" s="76"/>
      <c r="L24" s="76"/>
      <c r="M24" s="77"/>
      <c r="N24" s="78"/>
      <c r="O24" s="79"/>
      <c r="P24" s="76"/>
      <c r="Q24" s="76"/>
      <c r="R24" s="77"/>
      <c r="S24" s="78"/>
      <c r="T24" s="79"/>
      <c r="U24" s="76"/>
      <c r="V24" s="76"/>
      <c r="W24" s="77"/>
      <c r="X24" s="78"/>
      <c r="Y24" s="79"/>
    </row>
    <row r="25" spans="1:25" x14ac:dyDescent="0.25">
      <c r="A25" s="4" t="s">
        <v>3</v>
      </c>
      <c r="B25" s="176"/>
      <c r="C25" s="177">
        <v>44</v>
      </c>
      <c r="D25" s="2">
        <v>2.1214878853372799E-2</v>
      </c>
      <c r="E25" s="178">
        <v>4182.7961301369896</v>
      </c>
      <c r="F25" s="76"/>
      <c r="G25" s="76"/>
      <c r="H25" s="77"/>
      <c r="I25" s="78"/>
      <c r="J25" s="79"/>
      <c r="K25" s="76"/>
      <c r="L25" s="76"/>
      <c r="M25" s="77"/>
      <c r="N25" s="78"/>
      <c r="O25" s="79"/>
      <c r="P25" s="76"/>
      <c r="Q25" s="76"/>
      <c r="R25" s="77"/>
      <c r="S25" s="78"/>
      <c r="T25" s="79"/>
      <c r="U25" s="76"/>
      <c r="V25" s="76"/>
      <c r="W25" s="77"/>
      <c r="X25" s="78"/>
      <c r="Y25" s="79"/>
    </row>
    <row r="26" spans="1:25" x14ac:dyDescent="0.25">
      <c r="A26" s="4" t="s">
        <v>24</v>
      </c>
      <c r="B26" s="176"/>
      <c r="C26" s="177">
        <v>255</v>
      </c>
      <c r="D26" s="2">
        <v>1.86914863417771E-2</v>
      </c>
      <c r="E26" s="178">
        <v>22977.953949788502</v>
      </c>
      <c r="F26" s="76"/>
      <c r="G26" s="76"/>
      <c r="H26" s="77"/>
      <c r="I26" s="78"/>
      <c r="J26" s="79"/>
      <c r="K26" s="76"/>
      <c r="L26" s="76"/>
      <c r="M26" s="77"/>
      <c r="N26" s="78"/>
      <c r="O26" s="79"/>
      <c r="P26" s="76"/>
      <c r="Q26" s="76"/>
      <c r="R26" s="77"/>
      <c r="S26" s="78"/>
      <c r="T26" s="79"/>
      <c r="U26" s="76"/>
      <c r="V26" s="76"/>
      <c r="W26" s="77"/>
      <c r="X26" s="78"/>
      <c r="Y26" s="79"/>
    </row>
    <row r="27" spans="1:25" ht="22.5" x14ac:dyDescent="0.25">
      <c r="A27" s="4" t="s">
        <v>43</v>
      </c>
      <c r="B27" s="176"/>
      <c r="C27" s="177">
        <v>369</v>
      </c>
      <c r="D27" s="2">
        <v>5.5380150642871601E-3</v>
      </c>
      <c r="E27" s="178">
        <v>20922.2299952055</v>
      </c>
      <c r="F27" s="76"/>
      <c r="G27" s="76"/>
      <c r="H27" s="77"/>
      <c r="I27" s="78"/>
      <c r="J27" s="79"/>
      <c r="K27" s="76"/>
      <c r="L27" s="76"/>
      <c r="M27" s="77"/>
      <c r="N27" s="78"/>
      <c r="O27" s="79"/>
      <c r="P27" s="76"/>
      <c r="Q27" s="76"/>
      <c r="R27" s="77"/>
      <c r="S27" s="78"/>
      <c r="T27" s="79"/>
      <c r="U27" s="76"/>
      <c r="V27" s="76"/>
      <c r="W27" s="77"/>
      <c r="X27" s="78"/>
      <c r="Y27" s="79"/>
    </row>
    <row r="28" spans="1:25" x14ac:dyDescent="0.25">
      <c r="A28" s="4" t="s">
        <v>5</v>
      </c>
      <c r="B28" s="176"/>
      <c r="C28" s="177">
        <v>4</v>
      </c>
      <c r="D28" s="2">
        <v>0</v>
      </c>
      <c r="E28" s="178">
        <v>0</v>
      </c>
      <c r="F28" s="76"/>
      <c r="G28" s="76"/>
      <c r="H28" s="77"/>
      <c r="I28" s="78"/>
      <c r="J28" s="79"/>
      <c r="K28" s="76"/>
      <c r="L28" s="76"/>
      <c r="M28" s="77"/>
      <c r="N28" s="78"/>
      <c r="O28" s="79"/>
      <c r="P28" s="76"/>
      <c r="Q28" s="76"/>
      <c r="R28" s="77"/>
      <c r="S28" s="78"/>
      <c r="T28" s="79"/>
      <c r="U28" s="76"/>
      <c r="V28" s="76"/>
      <c r="W28" s="77"/>
      <c r="X28" s="78"/>
      <c r="Y28" s="79"/>
    </row>
    <row r="29" spans="1:25" x14ac:dyDescent="0.25">
      <c r="A29" s="4" t="s">
        <v>14</v>
      </c>
      <c r="B29" s="176"/>
      <c r="C29" s="177">
        <v>30</v>
      </c>
      <c r="D29" s="2">
        <v>0</v>
      </c>
      <c r="E29" s="178">
        <v>0</v>
      </c>
      <c r="F29" s="76"/>
      <c r="G29" s="76"/>
      <c r="H29" s="77"/>
      <c r="I29" s="78"/>
      <c r="J29" s="79"/>
      <c r="K29" s="76"/>
      <c r="L29" s="76"/>
      <c r="M29" s="77"/>
      <c r="N29" s="78"/>
      <c r="O29" s="79"/>
      <c r="P29" s="76"/>
      <c r="Q29" s="76"/>
      <c r="R29" s="77"/>
      <c r="S29" s="78"/>
      <c r="T29" s="79"/>
      <c r="U29" s="76"/>
      <c r="V29" s="76"/>
      <c r="W29" s="77"/>
      <c r="X29" s="78"/>
      <c r="Y29" s="79"/>
    </row>
    <row r="30" spans="1:25" ht="22.5" x14ac:dyDescent="0.25">
      <c r="A30" s="4" t="s">
        <v>497</v>
      </c>
      <c r="B30" s="176"/>
      <c r="C30" s="177">
        <v>1</v>
      </c>
      <c r="D30" s="2">
        <v>0</v>
      </c>
      <c r="E30" s="178">
        <v>0</v>
      </c>
      <c r="F30" s="76"/>
      <c r="G30" s="76"/>
      <c r="H30" s="77"/>
      <c r="I30" s="78"/>
      <c r="J30" s="79"/>
      <c r="K30" s="76"/>
      <c r="L30" s="76"/>
      <c r="M30" s="77"/>
      <c r="N30" s="78"/>
      <c r="O30" s="79"/>
      <c r="P30" s="76"/>
      <c r="Q30" s="76"/>
      <c r="R30" s="77"/>
      <c r="S30" s="78"/>
      <c r="T30" s="79"/>
      <c r="U30" s="76"/>
      <c r="V30" s="76"/>
      <c r="W30" s="77"/>
      <c r="X30" s="78"/>
      <c r="Y30" s="79"/>
    </row>
    <row r="31" spans="1:25" x14ac:dyDescent="0.25">
      <c r="A31" s="4" t="s">
        <v>44</v>
      </c>
      <c r="B31" s="176"/>
      <c r="C31" s="177">
        <v>127</v>
      </c>
      <c r="D31" s="2">
        <v>1.7991761123372502E-2</v>
      </c>
      <c r="E31" s="178">
        <v>20671.6995615753</v>
      </c>
      <c r="F31" s="76"/>
      <c r="G31" s="76"/>
      <c r="H31" s="77"/>
      <c r="I31" s="78"/>
      <c r="J31" s="79"/>
      <c r="K31" s="76"/>
      <c r="L31" s="76"/>
      <c r="M31" s="77"/>
      <c r="N31" s="78"/>
      <c r="O31" s="79"/>
      <c r="P31" s="76"/>
      <c r="Q31" s="76"/>
      <c r="R31" s="77"/>
      <c r="S31" s="78"/>
      <c r="T31" s="79"/>
      <c r="U31" s="76"/>
      <c r="V31" s="76"/>
      <c r="W31" s="77"/>
      <c r="X31" s="78"/>
      <c r="Y31" s="79"/>
    </row>
    <row r="32" spans="1:25" x14ac:dyDescent="0.25">
      <c r="A32" s="4" t="s">
        <v>64</v>
      </c>
      <c r="B32" s="176"/>
      <c r="C32" s="177">
        <v>90</v>
      </c>
      <c r="D32" s="2">
        <v>1.1218987422276601E-2</v>
      </c>
      <c r="E32" s="178">
        <v>8454.8334246575305</v>
      </c>
      <c r="F32" s="76"/>
      <c r="G32" s="76"/>
      <c r="H32" s="77"/>
      <c r="I32" s="78"/>
      <c r="J32" s="79"/>
      <c r="K32" s="76"/>
      <c r="L32" s="76"/>
      <c r="M32" s="77"/>
      <c r="N32" s="78"/>
      <c r="O32" s="79"/>
      <c r="P32" s="76"/>
      <c r="Q32" s="76"/>
      <c r="R32" s="77"/>
      <c r="S32" s="78"/>
      <c r="T32" s="79"/>
      <c r="U32" s="76"/>
      <c r="V32" s="76"/>
      <c r="W32" s="77"/>
      <c r="X32" s="78"/>
      <c r="Y32" s="79"/>
    </row>
    <row r="33" spans="1:25" x14ac:dyDescent="0.25">
      <c r="A33" s="4" t="s">
        <v>15</v>
      </c>
      <c r="B33" s="176"/>
      <c r="C33" s="177">
        <v>20</v>
      </c>
      <c r="D33" s="2">
        <v>0</v>
      </c>
      <c r="E33" s="178">
        <v>0</v>
      </c>
      <c r="F33" s="76"/>
      <c r="G33" s="76"/>
      <c r="H33" s="77"/>
      <c r="I33" s="78"/>
      <c r="J33" s="79"/>
      <c r="K33" s="76"/>
      <c r="L33" s="76"/>
      <c r="M33" s="77"/>
      <c r="N33" s="78"/>
      <c r="O33" s="79"/>
      <c r="P33" s="76"/>
      <c r="Q33" s="76"/>
      <c r="R33" s="77"/>
      <c r="S33" s="78"/>
      <c r="T33" s="79"/>
      <c r="U33" s="76"/>
      <c r="V33" s="76"/>
      <c r="W33" s="77"/>
      <c r="X33" s="78"/>
      <c r="Y33" s="79"/>
    </row>
    <row r="34" spans="1:25" x14ac:dyDescent="0.25">
      <c r="A34" s="4" t="s">
        <v>45</v>
      </c>
      <c r="B34" s="176"/>
      <c r="C34" s="177">
        <v>337</v>
      </c>
      <c r="D34" s="2">
        <v>1.9143720730999202E-2</v>
      </c>
      <c r="E34" s="178">
        <v>47388.5691194377</v>
      </c>
      <c r="F34" s="76"/>
      <c r="G34" s="76"/>
      <c r="H34" s="77"/>
      <c r="I34" s="78"/>
      <c r="J34" s="79"/>
      <c r="K34" s="76"/>
      <c r="L34" s="76"/>
      <c r="M34" s="77"/>
      <c r="N34" s="78"/>
      <c r="O34" s="79"/>
      <c r="P34" s="76"/>
      <c r="Q34" s="76"/>
      <c r="R34" s="77"/>
      <c r="S34" s="78"/>
      <c r="T34" s="79"/>
      <c r="U34" s="76"/>
      <c r="V34" s="76"/>
      <c r="W34" s="77"/>
      <c r="X34" s="78"/>
      <c r="Y34" s="79"/>
    </row>
    <row r="35" spans="1:25" x14ac:dyDescent="0.25">
      <c r="A35" s="4" t="s">
        <v>46</v>
      </c>
      <c r="B35" s="176"/>
      <c r="C35" s="177">
        <v>61</v>
      </c>
      <c r="D35" s="2">
        <v>0</v>
      </c>
      <c r="E35" s="178">
        <v>0</v>
      </c>
      <c r="F35" s="76"/>
      <c r="G35" s="76"/>
      <c r="H35" s="77"/>
      <c r="I35" s="78"/>
      <c r="J35" s="79"/>
      <c r="K35" s="76"/>
      <c r="L35" s="76"/>
      <c r="M35" s="77"/>
      <c r="N35" s="78"/>
      <c r="O35" s="79"/>
      <c r="P35" s="76"/>
      <c r="Q35" s="76"/>
      <c r="R35" s="77"/>
      <c r="S35" s="78"/>
      <c r="T35" s="79"/>
      <c r="U35" s="76"/>
      <c r="V35" s="76"/>
      <c r="W35" s="77"/>
      <c r="X35" s="78"/>
      <c r="Y35" s="79"/>
    </row>
    <row r="36" spans="1:25" x14ac:dyDescent="0.25">
      <c r="A36" s="4" t="s">
        <v>47</v>
      </c>
      <c r="B36" s="176"/>
      <c r="C36" s="177">
        <v>55</v>
      </c>
      <c r="D36" s="2">
        <v>3.9893243031338703E-3</v>
      </c>
      <c r="E36" s="178">
        <v>1146.7017906164399</v>
      </c>
      <c r="F36" s="76"/>
      <c r="G36" s="76"/>
      <c r="H36" s="77"/>
      <c r="I36" s="78"/>
      <c r="J36" s="79"/>
      <c r="K36" s="76"/>
      <c r="L36" s="76"/>
      <c r="M36" s="77"/>
      <c r="N36" s="78"/>
      <c r="O36" s="79"/>
      <c r="P36" s="76"/>
      <c r="Q36" s="76"/>
      <c r="R36" s="77"/>
      <c r="S36" s="78"/>
      <c r="T36" s="79"/>
      <c r="U36" s="76"/>
      <c r="V36" s="76"/>
      <c r="W36" s="77"/>
      <c r="X36" s="78"/>
      <c r="Y36" s="79"/>
    </row>
    <row r="37" spans="1:25" ht="22.5" x14ac:dyDescent="0.25">
      <c r="A37" s="4" t="s">
        <v>25</v>
      </c>
      <c r="B37" s="176"/>
      <c r="C37" s="177">
        <v>69</v>
      </c>
      <c r="D37" s="2">
        <v>1.6528682898990201E-2</v>
      </c>
      <c r="E37" s="178">
        <v>8130.7071232876697</v>
      </c>
      <c r="F37" s="76"/>
      <c r="G37" s="76"/>
      <c r="H37" s="77"/>
      <c r="I37" s="78"/>
      <c r="J37" s="79"/>
      <c r="K37" s="76"/>
      <c r="L37" s="76"/>
      <c r="M37" s="77"/>
      <c r="N37" s="78"/>
      <c r="O37" s="79"/>
      <c r="P37" s="76"/>
      <c r="Q37" s="76"/>
      <c r="R37" s="77"/>
      <c r="S37" s="78"/>
      <c r="T37" s="79"/>
      <c r="U37" s="76"/>
      <c r="V37" s="76"/>
      <c r="W37" s="77"/>
      <c r="X37" s="78"/>
      <c r="Y37" s="79"/>
    </row>
    <row r="38" spans="1:25" x14ac:dyDescent="0.25">
      <c r="A38" s="4" t="s">
        <v>16</v>
      </c>
      <c r="B38" s="176"/>
      <c r="C38" s="177">
        <v>155</v>
      </c>
      <c r="D38" s="2">
        <v>2.5145048704283E-2</v>
      </c>
      <c r="E38" s="178">
        <v>28743.044520547901</v>
      </c>
      <c r="F38" s="76"/>
      <c r="G38" s="76"/>
      <c r="H38" s="77"/>
      <c r="I38" s="78"/>
      <c r="J38" s="79"/>
      <c r="K38" s="76"/>
      <c r="L38" s="76"/>
      <c r="M38" s="77"/>
      <c r="N38" s="78"/>
      <c r="O38" s="79"/>
      <c r="P38" s="76"/>
      <c r="Q38" s="76"/>
      <c r="R38" s="77"/>
      <c r="S38" s="78"/>
      <c r="T38" s="79"/>
      <c r="U38" s="76"/>
      <c r="V38" s="76"/>
      <c r="W38" s="77"/>
      <c r="X38" s="78"/>
      <c r="Y38" s="79"/>
    </row>
    <row r="39" spans="1:25" x14ac:dyDescent="0.25">
      <c r="A39" s="4" t="s">
        <v>17</v>
      </c>
      <c r="B39" s="176"/>
      <c r="C39" s="177">
        <v>276</v>
      </c>
      <c r="D39" s="2">
        <v>3.4115773648861099E-3</v>
      </c>
      <c r="E39" s="178">
        <v>9823.1602394520505</v>
      </c>
      <c r="F39" s="76"/>
      <c r="G39" s="76"/>
      <c r="H39" s="77"/>
      <c r="I39" s="78"/>
      <c r="J39" s="79"/>
      <c r="K39" s="76"/>
      <c r="L39" s="76"/>
      <c r="M39" s="77"/>
      <c r="N39" s="78"/>
      <c r="O39" s="79"/>
      <c r="P39" s="76"/>
      <c r="Q39" s="76"/>
      <c r="R39" s="77"/>
      <c r="S39" s="78"/>
      <c r="T39" s="79"/>
      <c r="U39" s="76"/>
      <c r="V39" s="76"/>
      <c r="W39" s="77"/>
      <c r="X39" s="78"/>
      <c r="Y39" s="79"/>
    </row>
    <row r="40" spans="1:25" x14ac:dyDescent="0.25">
      <c r="A40" s="4" t="s">
        <v>48</v>
      </c>
      <c r="B40" s="176"/>
      <c r="C40" s="177">
        <v>99</v>
      </c>
      <c r="D40" s="2">
        <v>9.71295235382451E-3</v>
      </c>
      <c r="E40" s="178">
        <v>7969.7507808219198</v>
      </c>
      <c r="F40" s="76"/>
      <c r="G40" s="76"/>
      <c r="H40" s="77"/>
      <c r="I40" s="78"/>
      <c r="J40" s="79"/>
      <c r="K40" s="76"/>
      <c r="L40" s="76"/>
      <c r="M40" s="77"/>
      <c r="N40" s="78"/>
      <c r="O40" s="79"/>
      <c r="P40" s="76"/>
      <c r="Q40" s="76"/>
      <c r="R40" s="77"/>
      <c r="S40" s="78"/>
      <c r="T40" s="79"/>
      <c r="U40" s="76"/>
      <c r="V40" s="76"/>
      <c r="W40" s="77"/>
      <c r="X40" s="78"/>
      <c r="Y40" s="79"/>
    </row>
    <row r="41" spans="1:25" x14ac:dyDescent="0.25">
      <c r="A41" s="4" t="s">
        <v>26</v>
      </c>
      <c r="B41" s="176"/>
      <c r="C41" s="177">
        <v>421</v>
      </c>
      <c r="D41" s="2">
        <v>2.3054536874019701E-2</v>
      </c>
      <c r="E41" s="178">
        <v>70799.8282820819</v>
      </c>
      <c r="F41" s="76"/>
      <c r="G41" s="76"/>
      <c r="H41" s="77"/>
      <c r="I41" s="78"/>
      <c r="J41" s="79"/>
      <c r="K41" s="76"/>
      <c r="L41" s="76"/>
      <c r="M41" s="77"/>
      <c r="N41" s="78"/>
      <c r="O41" s="79"/>
      <c r="P41" s="76"/>
      <c r="Q41" s="76"/>
      <c r="R41" s="77"/>
      <c r="S41" s="78"/>
      <c r="T41" s="79"/>
      <c r="U41" s="76"/>
      <c r="V41" s="76"/>
      <c r="W41" s="77"/>
      <c r="X41" s="78"/>
      <c r="Y41" s="79"/>
    </row>
    <row r="42" spans="1:25" x14ac:dyDescent="0.25">
      <c r="A42" s="4" t="s">
        <v>27</v>
      </c>
      <c r="B42" s="176"/>
      <c r="C42" s="177">
        <v>114</v>
      </c>
      <c r="D42" s="2">
        <v>1.97020008883395E-2</v>
      </c>
      <c r="E42" s="178">
        <v>14515.558191404099</v>
      </c>
      <c r="F42" s="76"/>
      <c r="G42" s="76"/>
      <c r="H42" s="77"/>
      <c r="I42" s="78"/>
      <c r="J42" s="79"/>
      <c r="K42" s="76"/>
      <c r="L42" s="76"/>
      <c r="M42" s="77"/>
      <c r="N42" s="78"/>
      <c r="O42" s="79"/>
      <c r="P42" s="76"/>
      <c r="Q42" s="76"/>
      <c r="R42" s="77"/>
      <c r="S42" s="78"/>
      <c r="T42" s="79"/>
      <c r="U42" s="76"/>
      <c r="V42" s="76"/>
      <c r="W42" s="77"/>
      <c r="X42" s="78"/>
      <c r="Y42" s="79"/>
    </row>
    <row r="43" spans="1:25" x14ac:dyDescent="0.25">
      <c r="A43" s="4" t="s">
        <v>65</v>
      </c>
      <c r="B43" s="176"/>
      <c r="C43" s="177">
        <v>52</v>
      </c>
      <c r="D43" s="2">
        <v>3.0783115237715299E-2</v>
      </c>
      <c r="E43" s="178">
        <v>12223.745205479499</v>
      </c>
      <c r="F43" s="76"/>
      <c r="G43" s="76"/>
      <c r="H43" s="77"/>
      <c r="I43" s="78"/>
      <c r="J43" s="79"/>
      <c r="K43" s="76"/>
      <c r="L43" s="76"/>
      <c r="M43" s="77"/>
      <c r="N43" s="78"/>
      <c r="O43" s="79"/>
      <c r="P43" s="76"/>
      <c r="Q43" s="76"/>
      <c r="R43" s="77"/>
      <c r="S43" s="78"/>
      <c r="T43" s="79"/>
      <c r="U43" s="76"/>
      <c r="V43" s="76"/>
      <c r="W43" s="77"/>
      <c r="X43" s="78"/>
      <c r="Y43" s="79"/>
    </row>
    <row r="44" spans="1:25" x14ac:dyDescent="0.25">
      <c r="A44" s="4" t="s">
        <v>28</v>
      </c>
      <c r="B44" s="176"/>
      <c r="C44" s="177">
        <v>248</v>
      </c>
      <c r="D44" s="2">
        <v>1.8388860895072901E-2</v>
      </c>
      <c r="E44" s="178">
        <v>19161.777053835602</v>
      </c>
      <c r="F44" s="76"/>
      <c r="G44" s="76"/>
      <c r="H44" s="77"/>
      <c r="I44" s="78"/>
      <c r="J44" s="79"/>
      <c r="K44" s="76"/>
      <c r="L44" s="76"/>
      <c r="M44" s="77"/>
      <c r="N44" s="78"/>
      <c r="O44" s="79"/>
      <c r="P44" s="76"/>
      <c r="Q44" s="76"/>
      <c r="R44" s="77"/>
      <c r="S44" s="78"/>
      <c r="T44" s="79"/>
      <c r="U44" s="76"/>
      <c r="V44" s="76"/>
      <c r="W44" s="77"/>
      <c r="X44" s="78"/>
      <c r="Y44" s="79"/>
    </row>
    <row r="45" spans="1:25" x14ac:dyDescent="0.25">
      <c r="A45" s="4" t="s">
        <v>49</v>
      </c>
      <c r="B45" s="176"/>
      <c r="C45" s="177">
        <v>181</v>
      </c>
      <c r="D45" s="2">
        <v>5.9289689924783102E-3</v>
      </c>
      <c r="E45" s="178">
        <v>8516.6830720890393</v>
      </c>
      <c r="F45" s="76"/>
      <c r="G45" s="76"/>
      <c r="H45" s="77"/>
      <c r="I45" s="78"/>
      <c r="J45" s="79"/>
      <c r="K45" s="76"/>
      <c r="L45" s="76"/>
      <c r="M45" s="77"/>
      <c r="N45" s="78"/>
      <c r="O45" s="79"/>
      <c r="P45" s="76"/>
      <c r="Q45" s="76"/>
      <c r="R45" s="77"/>
      <c r="S45" s="78"/>
      <c r="T45" s="79"/>
      <c r="U45" s="76"/>
      <c r="V45" s="76"/>
      <c r="W45" s="77"/>
      <c r="X45" s="78"/>
      <c r="Y45" s="79"/>
    </row>
    <row r="46" spans="1:25" x14ac:dyDescent="0.25">
      <c r="A46" s="543" t="s">
        <v>66</v>
      </c>
      <c r="B46" s="176"/>
      <c r="C46" s="177">
        <v>159</v>
      </c>
      <c r="D46" s="2">
        <v>1.5773335489531401E-2</v>
      </c>
      <c r="E46" s="178">
        <v>37568.385582876697</v>
      </c>
      <c r="F46" s="76"/>
      <c r="G46" s="76"/>
      <c r="H46" s="77"/>
      <c r="I46" s="78"/>
      <c r="J46" s="79"/>
      <c r="K46" s="76"/>
      <c r="L46" s="76"/>
      <c r="M46" s="77"/>
      <c r="N46" s="78"/>
      <c r="O46" s="79"/>
      <c r="P46" s="76"/>
      <c r="Q46" s="76"/>
      <c r="R46" s="77"/>
      <c r="S46" s="78"/>
      <c r="T46" s="79"/>
      <c r="U46" s="76"/>
      <c r="V46" s="76"/>
      <c r="W46" s="77"/>
      <c r="X46" s="78"/>
      <c r="Y46" s="79"/>
    </row>
    <row r="47" spans="1:25" x14ac:dyDescent="0.25">
      <c r="A47" s="4" t="s">
        <v>29</v>
      </c>
      <c r="B47" s="176"/>
      <c r="C47" s="177">
        <v>138</v>
      </c>
      <c r="D47" s="2">
        <v>2.1750915930067601E-4</v>
      </c>
      <c r="E47" s="178">
        <v>179.07513130136999</v>
      </c>
      <c r="F47" s="76"/>
      <c r="G47" s="76"/>
      <c r="H47" s="77"/>
      <c r="I47" s="78"/>
      <c r="J47" s="79"/>
      <c r="K47" s="76"/>
      <c r="L47" s="76"/>
      <c r="M47" s="77"/>
      <c r="N47" s="78"/>
      <c r="O47" s="79"/>
      <c r="P47" s="76"/>
      <c r="Q47" s="76"/>
      <c r="R47" s="77"/>
      <c r="S47" s="78"/>
      <c r="T47" s="79"/>
      <c r="U47" s="76"/>
      <c r="V47" s="76"/>
      <c r="W47" s="77"/>
      <c r="X47" s="78"/>
      <c r="Y47" s="79"/>
    </row>
    <row r="48" spans="1:25" ht="22.5" x14ac:dyDescent="0.25">
      <c r="A48" s="4" t="s">
        <v>7</v>
      </c>
      <c r="B48" s="176"/>
      <c r="C48" s="177">
        <v>239</v>
      </c>
      <c r="D48" s="2">
        <v>1.23816846909224E-2</v>
      </c>
      <c r="E48" s="178">
        <v>16670.378707123298</v>
      </c>
      <c r="F48" s="76"/>
      <c r="G48" s="76"/>
      <c r="H48" s="77"/>
      <c r="I48" s="78"/>
      <c r="J48" s="79"/>
      <c r="K48" s="76"/>
      <c r="L48" s="76"/>
      <c r="M48" s="77"/>
      <c r="N48" s="78"/>
      <c r="O48" s="79"/>
      <c r="P48" s="76"/>
      <c r="Q48" s="76"/>
      <c r="R48" s="77"/>
      <c r="S48" s="78"/>
      <c r="T48" s="79"/>
      <c r="U48" s="76"/>
      <c r="V48" s="76"/>
      <c r="W48" s="77"/>
      <c r="X48" s="78"/>
      <c r="Y48" s="79"/>
    </row>
    <row r="49" spans="1:25" x14ac:dyDescent="0.25">
      <c r="A49" s="4" t="s">
        <v>30</v>
      </c>
      <c r="B49" s="176"/>
      <c r="C49" s="177">
        <v>450</v>
      </c>
      <c r="D49" s="2">
        <v>2.9445152988611799E-2</v>
      </c>
      <c r="E49" s="178">
        <v>77272.758829110098</v>
      </c>
      <c r="F49" s="76"/>
      <c r="G49" s="76"/>
      <c r="H49" s="77"/>
      <c r="I49" s="78"/>
      <c r="J49" s="79"/>
      <c r="K49" s="76"/>
      <c r="L49" s="76"/>
      <c r="M49" s="77"/>
      <c r="N49" s="78"/>
      <c r="O49" s="79"/>
      <c r="P49" s="76"/>
      <c r="Q49" s="76"/>
      <c r="R49" s="77"/>
      <c r="S49" s="78"/>
      <c r="T49" s="79"/>
      <c r="U49" s="76"/>
      <c r="V49" s="76"/>
      <c r="W49" s="77"/>
      <c r="X49" s="78"/>
      <c r="Y49" s="79"/>
    </row>
    <row r="50" spans="1:25" x14ac:dyDescent="0.25">
      <c r="A50" s="4" t="s">
        <v>31</v>
      </c>
      <c r="B50" s="176"/>
      <c r="C50" s="177">
        <v>93</v>
      </c>
      <c r="D50" s="2">
        <v>1.79054911738171E-3</v>
      </c>
      <c r="E50" s="178">
        <v>802.38630136986296</v>
      </c>
      <c r="F50" s="76"/>
      <c r="G50" s="76"/>
      <c r="H50" s="77"/>
      <c r="I50" s="78"/>
      <c r="J50" s="79"/>
      <c r="K50" s="76"/>
      <c r="L50" s="76"/>
      <c r="M50" s="77"/>
      <c r="N50" s="78"/>
      <c r="O50" s="79"/>
      <c r="P50" s="76"/>
      <c r="Q50" s="76"/>
      <c r="R50" s="77"/>
      <c r="S50" s="78"/>
      <c r="T50" s="79"/>
      <c r="U50" s="76"/>
      <c r="V50" s="76"/>
      <c r="W50" s="77"/>
      <c r="X50" s="78"/>
      <c r="Y50" s="79"/>
    </row>
    <row r="51" spans="1:25" x14ac:dyDescent="0.25">
      <c r="A51" s="4" t="s">
        <v>281</v>
      </c>
      <c r="B51" s="176"/>
      <c r="C51" s="177">
        <v>7</v>
      </c>
      <c r="D51" s="2">
        <v>0</v>
      </c>
      <c r="E51" s="178">
        <v>0</v>
      </c>
      <c r="F51" s="76"/>
      <c r="G51" s="76"/>
      <c r="H51" s="77"/>
      <c r="I51" s="78"/>
      <c r="J51" s="79"/>
      <c r="K51" s="76"/>
      <c r="L51" s="76"/>
      <c r="M51" s="77"/>
      <c r="N51" s="78"/>
      <c r="O51" s="79"/>
      <c r="P51" s="76"/>
      <c r="Q51" s="76"/>
      <c r="R51" s="77"/>
      <c r="S51" s="78"/>
      <c r="T51" s="79"/>
      <c r="U51" s="76"/>
      <c r="V51" s="76"/>
      <c r="W51" s="77"/>
      <c r="X51" s="78"/>
      <c r="Y51" s="79"/>
    </row>
    <row r="52" spans="1:25" x14ac:dyDescent="0.25">
      <c r="A52" s="4" t="s">
        <v>8</v>
      </c>
      <c r="B52" s="176"/>
      <c r="C52" s="177">
        <v>439</v>
      </c>
      <c r="D52" s="2">
        <v>1.01149342014939E-2</v>
      </c>
      <c r="E52" s="178">
        <v>42188.904784794497</v>
      </c>
      <c r="F52" s="76"/>
      <c r="G52" s="76"/>
      <c r="H52" s="77"/>
      <c r="I52" s="78"/>
      <c r="J52" s="79"/>
      <c r="K52" s="76"/>
      <c r="L52" s="76"/>
      <c r="M52" s="77"/>
      <c r="N52" s="78"/>
      <c r="O52" s="79"/>
      <c r="P52" s="76"/>
      <c r="Q52" s="76"/>
      <c r="R52" s="77"/>
      <c r="S52" s="78"/>
      <c r="T52" s="79"/>
      <c r="U52" s="76"/>
      <c r="V52" s="76"/>
      <c r="W52" s="77"/>
      <c r="X52" s="78"/>
      <c r="Y52" s="79"/>
    </row>
    <row r="53" spans="1:25" x14ac:dyDescent="0.25">
      <c r="A53" s="4" t="s">
        <v>18</v>
      </c>
      <c r="B53" s="176"/>
      <c r="C53" s="177">
        <v>237</v>
      </c>
      <c r="D53" s="2">
        <v>1.5138097341174E-2</v>
      </c>
      <c r="E53" s="178">
        <v>31581.843070404899</v>
      </c>
      <c r="F53" s="76"/>
      <c r="G53" s="76"/>
      <c r="H53" s="77"/>
      <c r="I53" s="78"/>
      <c r="J53" s="79"/>
      <c r="K53" s="76"/>
      <c r="L53" s="76"/>
      <c r="M53" s="77"/>
      <c r="N53" s="78"/>
      <c r="O53" s="79"/>
      <c r="P53" s="76"/>
      <c r="Q53" s="76"/>
      <c r="R53" s="77"/>
      <c r="S53" s="78"/>
      <c r="T53" s="79"/>
      <c r="U53" s="76"/>
      <c r="V53" s="76"/>
      <c r="W53" s="77"/>
      <c r="X53" s="78"/>
      <c r="Y53" s="79"/>
    </row>
    <row r="54" spans="1:25" x14ac:dyDescent="0.25">
      <c r="A54" s="4" t="s">
        <v>293</v>
      </c>
      <c r="B54" s="176"/>
      <c r="C54" s="177">
        <v>13</v>
      </c>
      <c r="D54" s="2">
        <v>0</v>
      </c>
      <c r="E54" s="178">
        <v>0</v>
      </c>
      <c r="F54" s="76"/>
      <c r="G54" s="76"/>
      <c r="H54" s="77"/>
      <c r="I54" s="78"/>
      <c r="J54" s="79"/>
      <c r="K54" s="76"/>
      <c r="L54" s="76"/>
      <c r="M54" s="77"/>
      <c r="N54" s="78"/>
      <c r="O54" s="79"/>
      <c r="P54" s="76"/>
      <c r="Q54" s="76"/>
      <c r="R54" s="77"/>
      <c r="S54" s="78"/>
      <c r="T54" s="79"/>
      <c r="U54" s="76"/>
      <c r="V54" s="76"/>
      <c r="W54" s="77"/>
      <c r="X54" s="78"/>
      <c r="Y54" s="79"/>
    </row>
    <row r="55" spans="1:25" x14ac:dyDescent="0.25">
      <c r="A55" s="4" t="s">
        <v>67</v>
      </c>
      <c r="B55" s="176"/>
      <c r="C55" s="177">
        <v>224</v>
      </c>
      <c r="D55" s="2">
        <v>1.80286132896007E-2</v>
      </c>
      <c r="E55" s="178">
        <v>29592.102882499999</v>
      </c>
      <c r="F55" s="76"/>
      <c r="G55" s="76"/>
      <c r="H55" s="77"/>
      <c r="I55" s="78"/>
      <c r="J55" s="79"/>
      <c r="K55" s="76"/>
      <c r="L55" s="76"/>
      <c r="M55" s="77"/>
      <c r="N55" s="78"/>
      <c r="O55" s="79"/>
      <c r="P55" s="76"/>
      <c r="Q55" s="76"/>
      <c r="R55" s="77"/>
      <c r="S55" s="78"/>
      <c r="T55" s="79"/>
      <c r="U55" s="76"/>
      <c r="V55" s="76"/>
      <c r="W55" s="77"/>
      <c r="X55" s="78"/>
      <c r="Y55" s="79"/>
    </row>
    <row r="56" spans="1:25" x14ac:dyDescent="0.25">
      <c r="A56" s="4" t="s">
        <v>32</v>
      </c>
      <c r="B56" s="176"/>
      <c r="C56" s="177">
        <v>17</v>
      </c>
      <c r="D56" s="2">
        <v>3.3754668198793497E-2</v>
      </c>
      <c r="E56" s="178">
        <v>8791.4143835616396</v>
      </c>
      <c r="F56" s="76"/>
      <c r="G56" s="76"/>
      <c r="H56" s="77"/>
      <c r="I56" s="78"/>
      <c r="J56" s="79"/>
      <c r="K56" s="76"/>
      <c r="L56" s="76"/>
      <c r="M56" s="77"/>
      <c r="N56" s="78"/>
      <c r="O56" s="79"/>
      <c r="P56" s="76"/>
      <c r="Q56" s="76"/>
      <c r="R56" s="77"/>
      <c r="S56" s="78"/>
      <c r="T56" s="79"/>
      <c r="U56" s="76"/>
      <c r="V56" s="76"/>
      <c r="W56" s="77"/>
      <c r="X56" s="78"/>
      <c r="Y56" s="79"/>
    </row>
    <row r="57" spans="1:25" x14ac:dyDescent="0.25">
      <c r="A57" s="4" t="s">
        <v>68</v>
      </c>
      <c r="B57" s="176"/>
      <c r="C57" s="177">
        <v>173</v>
      </c>
      <c r="D57" s="2">
        <v>1.2195166939865601E-2</v>
      </c>
      <c r="E57" s="178">
        <v>12275.784181626699</v>
      </c>
      <c r="F57" s="76"/>
      <c r="G57" s="76"/>
      <c r="H57" s="77"/>
      <c r="I57" s="78"/>
      <c r="J57" s="79"/>
      <c r="K57" s="76"/>
      <c r="L57" s="76"/>
      <c r="M57" s="77"/>
      <c r="N57" s="78"/>
      <c r="O57" s="79"/>
      <c r="P57" s="76"/>
      <c r="Q57" s="76"/>
      <c r="R57" s="77"/>
      <c r="S57" s="78"/>
      <c r="T57" s="79"/>
      <c r="U57" s="76"/>
      <c r="V57" s="76"/>
      <c r="W57" s="77"/>
      <c r="X57" s="78"/>
      <c r="Y57" s="79"/>
    </row>
    <row r="58" spans="1:25" ht="22.5" x14ac:dyDescent="0.25">
      <c r="A58" s="4" t="s">
        <v>33</v>
      </c>
      <c r="B58" s="176"/>
      <c r="C58" s="177">
        <v>151</v>
      </c>
      <c r="D58" s="2">
        <v>1.02104957775607E-2</v>
      </c>
      <c r="E58" s="178">
        <v>4670.64230479452</v>
      </c>
      <c r="F58" s="76"/>
      <c r="G58" s="76"/>
      <c r="H58" s="77"/>
      <c r="I58" s="78"/>
      <c r="J58" s="79"/>
      <c r="K58" s="76"/>
      <c r="L58" s="76"/>
      <c r="M58" s="77"/>
      <c r="N58" s="78"/>
      <c r="O58" s="79"/>
      <c r="P58" s="76"/>
      <c r="Q58" s="76"/>
      <c r="R58" s="77"/>
      <c r="S58" s="78"/>
      <c r="T58" s="79"/>
      <c r="U58" s="76"/>
      <c r="V58" s="76"/>
      <c r="W58" s="77"/>
      <c r="X58" s="78"/>
      <c r="Y58" s="79"/>
    </row>
    <row r="59" spans="1:25" x14ac:dyDescent="0.25">
      <c r="A59" s="4" t="s">
        <v>34</v>
      </c>
      <c r="B59" s="176"/>
      <c r="C59" s="177">
        <v>228</v>
      </c>
      <c r="D59" s="2">
        <v>9.8233738284637592E-3</v>
      </c>
      <c r="E59" s="178">
        <v>18660.302739726001</v>
      </c>
      <c r="F59" s="76"/>
      <c r="G59" s="76"/>
      <c r="H59" s="77"/>
      <c r="I59" s="78"/>
      <c r="J59" s="79"/>
      <c r="K59" s="76"/>
      <c r="L59" s="76"/>
      <c r="M59" s="77"/>
      <c r="N59" s="78"/>
      <c r="O59" s="79"/>
      <c r="P59" s="76"/>
      <c r="Q59" s="76"/>
      <c r="R59" s="77"/>
      <c r="S59" s="78"/>
      <c r="T59" s="79"/>
      <c r="U59" s="76"/>
      <c r="V59" s="76"/>
      <c r="W59" s="77"/>
      <c r="X59" s="78"/>
      <c r="Y59" s="79"/>
    </row>
    <row r="60" spans="1:25" x14ac:dyDescent="0.25">
      <c r="A60" s="4" t="s">
        <v>50</v>
      </c>
      <c r="B60" s="176"/>
      <c r="C60" s="177">
        <v>143</v>
      </c>
      <c r="D60" s="2">
        <v>2.24476100534962E-2</v>
      </c>
      <c r="E60" s="178">
        <v>45176.712054794501</v>
      </c>
      <c r="F60" s="76"/>
      <c r="G60" s="76"/>
      <c r="H60" s="77"/>
      <c r="I60" s="78"/>
      <c r="J60" s="79"/>
      <c r="K60" s="76"/>
      <c r="L60" s="76"/>
      <c r="M60" s="77"/>
      <c r="N60" s="78"/>
      <c r="O60" s="79"/>
      <c r="P60" s="76"/>
      <c r="Q60" s="76"/>
      <c r="R60" s="77"/>
      <c r="S60" s="78"/>
      <c r="T60" s="79"/>
      <c r="U60" s="76"/>
      <c r="V60" s="76"/>
      <c r="W60" s="77"/>
      <c r="X60" s="78"/>
      <c r="Y60" s="79"/>
    </row>
    <row r="61" spans="1:25" x14ac:dyDescent="0.25">
      <c r="A61" s="4" t="s">
        <v>19</v>
      </c>
      <c r="B61" s="176"/>
      <c r="C61" s="177">
        <v>168</v>
      </c>
      <c r="D61" s="2">
        <v>1.32423096578498E-2</v>
      </c>
      <c r="E61" s="178">
        <v>20973.091780821898</v>
      </c>
      <c r="F61" s="76"/>
      <c r="G61" s="76"/>
      <c r="H61" s="77"/>
      <c r="I61" s="78"/>
      <c r="J61" s="79"/>
      <c r="K61" s="76"/>
      <c r="L61" s="76"/>
      <c r="M61" s="77"/>
      <c r="N61" s="78"/>
      <c r="O61" s="79"/>
      <c r="P61" s="76"/>
      <c r="Q61" s="76"/>
      <c r="R61" s="77"/>
      <c r="S61" s="78"/>
      <c r="T61" s="79"/>
      <c r="U61" s="76"/>
      <c r="V61" s="76"/>
      <c r="W61" s="77"/>
      <c r="X61" s="78"/>
      <c r="Y61" s="79"/>
    </row>
    <row r="62" spans="1:25" x14ac:dyDescent="0.25">
      <c r="A62" s="4" t="s">
        <v>51</v>
      </c>
      <c r="B62" s="176"/>
      <c r="C62" s="177">
        <v>18</v>
      </c>
      <c r="D62" s="2">
        <v>1.1788977306218701E-2</v>
      </c>
      <c r="E62" s="178">
        <v>2612.1643835616401</v>
      </c>
      <c r="F62" s="76"/>
      <c r="G62" s="76"/>
      <c r="H62" s="77"/>
      <c r="I62" s="78"/>
      <c r="J62" s="79"/>
      <c r="K62" s="76"/>
      <c r="L62" s="76"/>
      <c r="M62" s="77"/>
      <c r="N62" s="78"/>
      <c r="O62" s="79"/>
      <c r="P62" s="76"/>
      <c r="Q62" s="76"/>
      <c r="R62" s="77"/>
      <c r="S62" s="78"/>
      <c r="T62" s="79"/>
      <c r="U62" s="76"/>
      <c r="V62" s="76"/>
      <c r="W62" s="77"/>
      <c r="X62" s="78"/>
      <c r="Y62" s="79"/>
    </row>
    <row r="63" spans="1:25" x14ac:dyDescent="0.25">
      <c r="A63" s="4" t="s">
        <v>35</v>
      </c>
      <c r="B63" s="176"/>
      <c r="C63" s="177">
        <v>246</v>
      </c>
      <c r="D63" s="2">
        <v>7.5851343099616799E-3</v>
      </c>
      <c r="E63" s="178">
        <v>13628.488206301399</v>
      </c>
      <c r="F63" s="76"/>
      <c r="G63" s="76"/>
      <c r="H63" s="77"/>
      <c r="I63" s="78"/>
      <c r="J63" s="79"/>
      <c r="K63" s="76"/>
      <c r="L63" s="76"/>
      <c r="M63" s="77"/>
      <c r="N63" s="78"/>
      <c r="O63" s="79"/>
      <c r="P63" s="76"/>
      <c r="Q63" s="76"/>
      <c r="R63" s="77"/>
      <c r="S63" s="78"/>
      <c r="T63" s="79"/>
      <c r="U63" s="76"/>
      <c r="V63" s="76"/>
      <c r="W63" s="77"/>
      <c r="X63" s="78"/>
      <c r="Y63" s="79"/>
    </row>
    <row r="64" spans="1:25" x14ac:dyDescent="0.25">
      <c r="A64" s="4" t="s">
        <v>20</v>
      </c>
      <c r="B64" s="176"/>
      <c r="C64" s="177">
        <v>308</v>
      </c>
      <c r="D64" s="2">
        <v>2.4660630077862601E-2</v>
      </c>
      <c r="E64" s="178">
        <v>47954.970524315097</v>
      </c>
      <c r="F64" s="76"/>
      <c r="G64" s="76"/>
      <c r="H64" s="77"/>
      <c r="I64" s="78"/>
      <c r="J64" s="79"/>
      <c r="K64" s="76"/>
      <c r="L64" s="76"/>
      <c r="M64" s="77"/>
      <c r="N64" s="78"/>
      <c r="O64" s="79"/>
      <c r="P64" s="76"/>
      <c r="Q64" s="76"/>
      <c r="R64" s="77"/>
      <c r="S64" s="78"/>
      <c r="T64" s="79"/>
      <c r="U64" s="76"/>
      <c r="V64" s="76"/>
      <c r="W64" s="77"/>
      <c r="X64" s="78"/>
      <c r="Y64" s="79"/>
    </row>
    <row r="65" spans="1:25" x14ac:dyDescent="0.25">
      <c r="A65" s="4" t="s">
        <v>52</v>
      </c>
      <c r="B65" s="176"/>
      <c r="C65" s="177">
        <v>123</v>
      </c>
      <c r="D65" s="2">
        <v>2.0308439407322701E-2</v>
      </c>
      <c r="E65" s="178">
        <v>16881.053330137001</v>
      </c>
      <c r="F65" s="76"/>
      <c r="G65" s="76"/>
      <c r="H65" s="77"/>
      <c r="I65" s="78"/>
      <c r="J65" s="79"/>
      <c r="K65" s="76"/>
      <c r="L65" s="76"/>
      <c r="M65" s="77"/>
      <c r="N65" s="78"/>
      <c r="O65" s="79"/>
      <c r="P65" s="76"/>
      <c r="Q65" s="76"/>
      <c r="R65" s="77"/>
      <c r="S65" s="78"/>
      <c r="T65" s="79"/>
      <c r="U65" s="76"/>
      <c r="V65" s="76"/>
      <c r="W65" s="77"/>
      <c r="X65" s="78"/>
      <c r="Y65" s="79"/>
    </row>
    <row r="66" spans="1:25" x14ac:dyDescent="0.25">
      <c r="A66" s="4" t="s">
        <v>53</v>
      </c>
      <c r="B66" s="176"/>
      <c r="C66" s="177">
        <v>24</v>
      </c>
      <c r="D66" s="2">
        <v>0</v>
      </c>
      <c r="E66" s="178">
        <v>0</v>
      </c>
      <c r="F66" s="76"/>
      <c r="G66" s="76"/>
      <c r="H66" s="77"/>
      <c r="I66" s="78"/>
      <c r="J66" s="79"/>
      <c r="K66" s="76"/>
      <c r="L66" s="76"/>
      <c r="M66" s="77"/>
      <c r="N66" s="78"/>
      <c r="O66" s="79"/>
      <c r="P66" s="76"/>
      <c r="Q66" s="76"/>
      <c r="R66" s="77"/>
      <c r="S66" s="78"/>
      <c r="T66" s="79"/>
      <c r="U66" s="76"/>
      <c r="V66" s="76"/>
      <c r="W66" s="77"/>
      <c r="X66" s="78"/>
      <c r="Y66" s="79"/>
    </row>
    <row r="67" spans="1:25" x14ac:dyDescent="0.25">
      <c r="A67" s="4" t="s">
        <v>9</v>
      </c>
      <c r="B67" s="176"/>
      <c r="C67" s="177">
        <v>338</v>
      </c>
      <c r="D67" s="2">
        <v>1.4044559236658399E-2</v>
      </c>
      <c r="E67" s="178">
        <v>33666.050684931499</v>
      </c>
      <c r="F67" s="76"/>
      <c r="G67" s="76"/>
      <c r="H67" s="77"/>
      <c r="I67" s="78"/>
      <c r="J67" s="79"/>
      <c r="K67" s="76"/>
      <c r="L67" s="76"/>
      <c r="M67" s="77"/>
      <c r="N67" s="78"/>
      <c r="O67" s="79"/>
      <c r="P67" s="76"/>
      <c r="Q67" s="76"/>
      <c r="R67" s="77"/>
      <c r="S67" s="78"/>
      <c r="T67" s="79"/>
      <c r="U67" s="76"/>
      <c r="V67" s="76"/>
      <c r="W67" s="77"/>
      <c r="X67" s="78"/>
      <c r="Y67" s="79"/>
    </row>
    <row r="68" spans="1:25" x14ac:dyDescent="0.25">
      <c r="A68" s="4" t="s">
        <v>10</v>
      </c>
      <c r="B68" s="176"/>
      <c r="C68" s="177">
        <v>190</v>
      </c>
      <c r="D68" s="2">
        <v>2.5407405073291801E-2</v>
      </c>
      <c r="E68" s="178">
        <v>35995.057505342498</v>
      </c>
      <c r="F68" s="76"/>
      <c r="G68" s="76"/>
      <c r="H68" s="77"/>
      <c r="I68" s="78"/>
      <c r="J68" s="79"/>
      <c r="K68" s="76"/>
      <c r="L68" s="76"/>
      <c r="M68" s="77"/>
      <c r="N68" s="78"/>
      <c r="O68" s="79"/>
      <c r="P68" s="76"/>
      <c r="Q68" s="76"/>
      <c r="R68" s="77"/>
      <c r="S68" s="78"/>
      <c r="T68" s="79"/>
      <c r="U68" s="76"/>
      <c r="V68" s="76"/>
      <c r="W68" s="77"/>
      <c r="X68" s="78"/>
      <c r="Y68" s="79"/>
    </row>
    <row r="69" spans="1:25" x14ac:dyDescent="0.25">
      <c r="A69" s="4" t="s">
        <v>54</v>
      </c>
      <c r="B69" s="176"/>
      <c r="C69" s="177">
        <v>107</v>
      </c>
      <c r="D69" s="2">
        <v>1.26455636536835E-2</v>
      </c>
      <c r="E69" s="178">
        <v>6233.8619740753402</v>
      </c>
      <c r="F69" s="81"/>
      <c r="G69" s="81"/>
      <c r="H69" s="82"/>
      <c r="I69" s="83"/>
      <c r="J69" s="84"/>
      <c r="K69" s="81"/>
      <c r="L69" s="81"/>
      <c r="M69" s="82"/>
      <c r="N69" s="83"/>
      <c r="O69" s="84"/>
      <c r="P69" s="81"/>
      <c r="Q69" s="81"/>
      <c r="R69" s="82"/>
      <c r="S69" s="83"/>
      <c r="T69" s="84"/>
      <c r="U69" s="81"/>
      <c r="V69" s="81"/>
      <c r="W69" s="82"/>
      <c r="X69" s="83"/>
      <c r="Y69" s="84"/>
    </row>
    <row r="70" spans="1:25" x14ac:dyDescent="0.25">
      <c r="A70" s="4" t="s">
        <v>38</v>
      </c>
      <c r="B70" s="176"/>
      <c r="C70" s="177">
        <v>24</v>
      </c>
      <c r="D70" s="2">
        <v>5.08171160265894E-2</v>
      </c>
      <c r="E70" s="178">
        <v>7545.5753424657496</v>
      </c>
    </row>
    <row r="71" spans="1:25" x14ac:dyDescent="0.25">
      <c r="A71" s="4" t="s">
        <v>40</v>
      </c>
      <c r="B71" s="176"/>
      <c r="C71" s="177">
        <v>122</v>
      </c>
      <c r="D71" s="2">
        <v>1.2892607839104101E-2</v>
      </c>
      <c r="E71" s="178">
        <v>12841.8647635616</v>
      </c>
    </row>
    <row r="72" spans="1:25" x14ac:dyDescent="0.25">
      <c r="A72" s="4" t="s">
        <v>21</v>
      </c>
      <c r="B72" s="176"/>
      <c r="C72" s="177">
        <v>1019</v>
      </c>
      <c r="D72" s="2">
        <v>1.5718604228782102E-2</v>
      </c>
      <c r="E72" s="178">
        <v>74247.077690436403</v>
      </c>
    </row>
    <row r="73" spans="1:25" x14ac:dyDescent="0.25">
      <c r="A73" s="4" t="s">
        <v>55</v>
      </c>
      <c r="B73" s="176"/>
      <c r="C73" s="177">
        <v>43</v>
      </c>
      <c r="D73" s="2">
        <v>2.35299613969218E-2</v>
      </c>
      <c r="E73" s="178">
        <v>10238.254958904099</v>
      </c>
    </row>
    <row r="74" spans="1:25" x14ac:dyDescent="0.25">
      <c r="A74" s="4" t="s">
        <v>56</v>
      </c>
      <c r="B74" s="176"/>
      <c r="C74" s="177">
        <v>629</v>
      </c>
      <c r="D74" s="2">
        <v>2.0292566771829699E-2</v>
      </c>
      <c r="E74" s="178">
        <v>89469.220134412593</v>
      </c>
    </row>
    <row r="75" spans="1:25" x14ac:dyDescent="0.25">
      <c r="A75" s="4" t="s">
        <v>11</v>
      </c>
      <c r="B75" s="176"/>
      <c r="C75" s="177">
        <v>370</v>
      </c>
      <c r="D75" s="2">
        <v>8.4777626773506996E-3</v>
      </c>
      <c r="E75" s="178">
        <v>21932.873767123299</v>
      </c>
    </row>
    <row r="76" spans="1:25" x14ac:dyDescent="0.25">
      <c r="A76" s="4" t="s">
        <v>36</v>
      </c>
      <c r="B76" s="176"/>
      <c r="C76" s="177">
        <v>279</v>
      </c>
      <c r="D76" s="2">
        <v>1.21995227309767E-2</v>
      </c>
      <c r="E76" s="178">
        <v>31183.6371761644</v>
      </c>
    </row>
    <row r="77" spans="1:25" ht="22.5" x14ac:dyDescent="0.25">
      <c r="A77" s="4" t="s">
        <v>57</v>
      </c>
      <c r="B77" s="176"/>
      <c r="C77" s="177">
        <v>311</v>
      </c>
      <c r="D77" s="2">
        <v>1.8019304770635999E-2</v>
      </c>
      <c r="E77" s="178">
        <v>32656.340157363</v>
      </c>
    </row>
    <row r="78" spans="1:25" x14ac:dyDescent="0.25">
      <c r="A78" s="4" t="s">
        <v>60</v>
      </c>
      <c r="B78" s="176"/>
      <c r="C78" s="177">
        <v>30</v>
      </c>
      <c r="D78" s="2">
        <v>0</v>
      </c>
      <c r="E78" s="178">
        <v>0</v>
      </c>
    </row>
    <row r="79" spans="1:25" x14ac:dyDescent="0.25">
      <c r="A79" s="4" t="s">
        <v>496</v>
      </c>
      <c r="B79" s="176"/>
      <c r="C79" s="177">
        <v>1</v>
      </c>
      <c r="D79" s="2">
        <v>0</v>
      </c>
      <c r="E79" s="178">
        <v>0</v>
      </c>
    </row>
    <row r="80" spans="1:25" x14ac:dyDescent="0.25">
      <c r="A80" s="4" t="s">
        <v>58</v>
      </c>
      <c r="B80" s="176"/>
      <c r="C80" s="177">
        <v>79</v>
      </c>
      <c r="D80" s="2">
        <v>7.1353195961873003E-3</v>
      </c>
      <c r="E80" s="178">
        <v>2376.2508342465799</v>
      </c>
    </row>
    <row r="81" spans="1:5" ht="22.5" x14ac:dyDescent="0.25">
      <c r="A81" s="4" t="s">
        <v>69</v>
      </c>
      <c r="B81" s="176"/>
      <c r="C81" s="177">
        <v>6</v>
      </c>
      <c r="D81" s="2">
        <v>0</v>
      </c>
      <c r="E81" s="178">
        <v>0</v>
      </c>
    </row>
    <row r="82" spans="1:5" x14ac:dyDescent="0.25">
      <c r="A82" s="438" t="s">
        <v>70</v>
      </c>
      <c r="B82" s="179"/>
      <c r="C82" s="180">
        <v>10964</v>
      </c>
      <c r="D82" s="3">
        <v>1.4917078953787801E-2</v>
      </c>
      <c r="E82" s="181">
        <v>1193373.6805541799</v>
      </c>
    </row>
  </sheetData>
  <mergeCells count="4">
    <mergeCell ref="U7:Y7"/>
    <mergeCell ref="F7:J7"/>
    <mergeCell ref="K7:O7"/>
    <mergeCell ref="P7:T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92D050"/>
  </sheetPr>
  <dimension ref="A1:AD82"/>
  <sheetViews>
    <sheetView topLeftCell="A28" workbookViewId="0">
      <selection activeCell="A46" sqref="A46"/>
    </sheetView>
  </sheetViews>
  <sheetFormatPr defaultColWidth="9.140625" defaultRowHeight="15" x14ac:dyDescent="0.25"/>
  <cols>
    <col min="1" max="1" width="31.85546875" style="160" customWidth="1"/>
    <col min="2" max="2" width="1.7109375" style="160" customWidth="1"/>
    <col min="3" max="3" width="9.140625" style="160" customWidth="1"/>
    <col min="4" max="4" width="12.7109375" style="160" customWidth="1"/>
    <col min="5" max="5" width="12.42578125" style="160" customWidth="1"/>
    <col min="6" max="6" width="7.5703125" style="74" customWidth="1"/>
    <col min="7" max="7" width="8.85546875" style="74" customWidth="1"/>
    <col min="8" max="8" width="7.5703125" style="74" customWidth="1"/>
    <col min="9" max="9" width="10.5703125" style="74" customWidth="1"/>
    <col min="10" max="10" width="8.85546875" style="74" customWidth="1"/>
    <col min="11" max="11" width="7.5703125" style="74" customWidth="1"/>
    <col min="12" max="12" width="8.85546875" style="74" customWidth="1"/>
    <col min="13" max="13" width="7.5703125" style="74" customWidth="1"/>
    <col min="14" max="14" width="10.5703125" style="74" customWidth="1"/>
    <col min="15" max="15" width="8.85546875" style="74" customWidth="1"/>
    <col min="16" max="16" width="7.5703125" style="74" customWidth="1"/>
    <col min="17" max="17" width="8.85546875" style="74" customWidth="1"/>
    <col min="18" max="18" width="7.5703125" style="74" customWidth="1"/>
    <col min="19" max="19" width="10.5703125" style="74" customWidth="1"/>
    <col min="20" max="20" width="8.85546875" style="74" customWidth="1"/>
    <col min="21" max="21" width="7.5703125" style="74" customWidth="1"/>
    <col min="22" max="22" width="8.85546875" style="74" customWidth="1"/>
    <col min="23" max="23" width="7.5703125" style="74" customWidth="1"/>
    <col min="24" max="24" width="10.5703125" style="74" customWidth="1"/>
    <col min="25" max="25" width="8.85546875" style="74" customWidth="1"/>
    <col min="26" max="26" width="8" style="74" customWidth="1"/>
    <col min="27" max="27" width="10.140625" style="74" customWidth="1"/>
    <col min="28" max="28" width="7.5703125" style="74" customWidth="1"/>
    <col min="29" max="29" width="10.5703125" style="74" customWidth="1"/>
    <col min="30" max="30" width="10.28515625" style="74" customWidth="1"/>
    <col min="31" max="31" width="0" style="74" hidden="1" customWidth="1"/>
    <col min="32" max="16384" width="9.140625" style="74"/>
  </cols>
  <sheetData>
    <row r="1" spans="1:30" x14ac:dyDescent="0.25">
      <c r="A1" s="1" t="s">
        <v>424</v>
      </c>
    </row>
    <row r="2" spans="1:30" ht="14.45" customHeight="1" x14ac:dyDescent="0.25">
      <c r="A2" s="161" t="s">
        <v>0</v>
      </c>
    </row>
    <row r="3" spans="1:30" x14ac:dyDescent="0.25">
      <c r="A3" s="182" t="s">
        <v>74</v>
      </c>
      <c r="B3" s="165"/>
      <c r="C3" s="182" t="s">
        <v>290</v>
      </c>
      <c r="D3" s="182" t="s">
        <v>1</v>
      </c>
      <c r="E3" s="175" t="s">
        <v>291</v>
      </c>
    </row>
    <row r="4" spans="1:30" x14ac:dyDescent="0.25">
      <c r="A4" s="4" t="s">
        <v>2</v>
      </c>
      <c r="B4" s="176"/>
      <c r="C4" s="177">
        <v>44</v>
      </c>
      <c r="D4" s="2">
        <v>0</v>
      </c>
      <c r="E4" s="178">
        <v>0</v>
      </c>
    </row>
    <row r="5" spans="1:30" x14ac:dyDescent="0.25">
      <c r="A5" s="4" t="s">
        <v>4</v>
      </c>
      <c r="B5" s="176"/>
      <c r="C5" s="177">
        <v>4</v>
      </c>
      <c r="D5" s="2">
        <v>0</v>
      </c>
      <c r="E5" s="178">
        <v>0</v>
      </c>
    </row>
    <row r="6" spans="1:30" x14ac:dyDescent="0.25">
      <c r="A6" s="4" t="s">
        <v>6</v>
      </c>
      <c r="B6" s="176"/>
      <c r="C6" s="177">
        <v>1575</v>
      </c>
      <c r="D6" s="2">
        <v>6.8434680136398298E-3</v>
      </c>
      <c r="E6" s="178">
        <v>65583.849496232899</v>
      </c>
    </row>
    <row r="7" spans="1:30" x14ac:dyDescent="0.25">
      <c r="A7" s="4" t="s">
        <v>12</v>
      </c>
      <c r="B7" s="176"/>
      <c r="C7" s="177">
        <v>2277</v>
      </c>
      <c r="D7" s="2">
        <v>9.6448041376148395E-3</v>
      </c>
      <c r="E7" s="178">
        <v>128733.989539305</v>
      </c>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row>
    <row r="8" spans="1:30" x14ac:dyDescent="0.25">
      <c r="A8" s="4" t="s">
        <v>280</v>
      </c>
      <c r="B8" s="176"/>
      <c r="C8" s="177">
        <v>7</v>
      </c>
      <c r="D8" s="2">
        <v>0</v>
      </c>
      <c r="E8" s="178">
        <v>0</v>
      </c>
      <c r="F8" s="75"/>
      <c r="G8" s="75"/>
      <c r="H8" s="75"/>
      <c r="I8" s="75"/>
      <c r="J8" s="75"/>
      <c r="K8" s="75"/>
      <c r="L8" s="75"/>
      <c r="M8" s="75"/>
      <c r="N8" s="75"/>
      <c r="O8" s="75"/>
      <c r="P8" s="75"/>
      <c r="Q8" s="75"/>
      <c r="R8" s="75"/>
      <c r="S8" s="75"/>
      <c r="T8" s="75"/>
      <c r="U8" s="75"/>
      <c r="V8" s="75"/>
      <c r="W8" s="75"/>
      <c r="X8" s="75"/>
      <c r="Y8" s="75"/>
      <c r="Z8" s="659"/>
      <c r="AA8" s="659"/>
      <c r="AB8" s="659"/>
      <c r="AC8" s="659"/>
      <c r="AD8" s="659"/>
    </row>
    <row r="9" spans="1:30" x14ac:dyDescent="0.25">
      <c r="A9" s="4" t="s">
        <v>292</v>
      </c>
      <c r="B9" s="176"/>
      <c r="C9" s="177">
        <v>13</v>
      </c>
      <c r="D9" s="2">
        <v>0</v>
      </c>
      <c r="E9" s="178">
        <v>0</v>
      </c>
      <c r="F9" s="76"/>
      <c r="G9" s="76"/>
      <c r="H9" s="77"/>
      <c r="I9" s="78"/>
      <c r="J9" s="79"/>
      <c r="K9" s="76"/>
      <c r="L9" s="76"/>
      <c r="M9" s="77"/>
      <c r="N9" s="78"/>
      <c r="O9" s="79"/>
      <c r="P9" s="76"/>
      <c r="Q9" s="76"/>
      <c r="R9" s="77"/>
      <c r="S9" s="78"/>
      <c r="T9" s="79"/>
      <c r="U9" s="76"/>
      <c r="V9" s="76"/>
      <c r="W9" s="77"/>
      <c r="X9" s="78"/>
      <c r="Y9" s="79"/>
      <c r="Z9" s="81"/>
      <c r="AA9" s="81"/>
      <c r="AB9" s="82"/>
      <c r="AC9" s="83"/>
      <c r="AD9" s="84"/>
    </row>
    <row r="10" spans="1:30" x14ac:dyDescent="0.25">
      <c r="A10" s="4" t="s">
        <v>22</v>
      </c>
      <c r="B10" s="176"/>
      <c r="C10" s="177">
        <v>2939</v>
      </c>
      <c r="D10" s="2">
        <v>8.2136537838343598E-3</v>
      </c>
      <c r="E10" s="178">
        <v>172503.185085312</v>
      </c>
      <c r="F10" s="76"/>
      <c r="G10" s="76"/>
      <c r="H10" s="77"/>
      <c r="I10" s="78"/>
      <c r="J10" s="79"/>
      <c r="K10" s="76"/>
      <c r="L10" s="76"/>
      <c r="M10" s="77"/>
      <c r="N10" s="78"/>
      <c r="O10" s="79"/>
      <c r="P10" s="76"/>
      <c r="Q10" s="76"/>
      <c r="R10" s="77"/>
      <c r="S10" s="78"/>
      <c r="T10" s="79"/>
      <c r="U10" s="76"/>
      <c r="V10" s="76"/>
      <c r="W10" s="77"/>
      <c r="X10" s="78"/>
      <c r="Y10" s="79"/>
      <c r="Z10" s="81"/>
      <c r="AA10" s="81"/>
      <c r="AB10" s="82"/>
      <c r="AC10" s="85"/>
      <c r="AD10" s="84"/>
    </row>
    <row r="11" spans="1:30" x14ac:dyDescent="0.25">
      <c r="A11" s="4" t="s">
        <v>37</v>
      </c>
      <c r="B11" s="176"/>
      <c r="C11" s="177">
        <v>24</v>
      </c>
      <c r="D11" s="2">
        <v>0</v>
      </c>
      <c r="E11" s="178">
        <v>0</v>
      </c>
      <c r="F11" s="76"/>
      <c r="G11" s="76"/>
      <c r="H11" s="77"/>
      <c r="I11" s="78"/>
      <c r="J11" s="79"/>
      <c r="K11" s="76"/>
      <c r="L11" s="76"/>
      <c r="M11" s="77"/>
      <c r="N11" s="78"/>
      <c r="O11" s="79"/>
      <c r="P11" s="76"/>
      <c r="Q11" s="76"/>
      <c r="R11" s="77"/>
      <c r="S11" s="78"/>
      <c r="T11" s="79"/>
      <c r="U11" s="76"/>
      <c r="V11" s="76"/>
      <c r="W11" s="77"/>
      <c r="X11" s="78"/>
      <c r="Y11" s="79"/>
      <c r="Z11" s="81"/>
      <c r="AA11" s="81"/>
      <c r="AB11" s="82"/>
      <c r="AC11" s="83"/>
      <c r="AD11" s="84"/>
    </row>
    <row r="12" spans="1:30" x14ac:dyDescent="0.25">
      <c r="A12" s="4" t="s">
        <v>39</v>
      </c>
      <c r="B12" s="176"/>
      <c r="C12" s="177">
        <v>122</v>
      </c>
      <c r="D12" s="2">
        <v>7.9869003163288502E-3</v>
      </c>
      <c r="E12" s="178">
        <v>8746.7602739726008</v>
      </c>
      <c r="F12" s="76"/>
      <c r="G12" s="76"/>
      <c r="H12" s="77"/>
      <c r="I12" s="78"/>
      <c r="J12" s="79"/>
      <c r="K12" s="76"/>
      <c r="L12" s="76"/>
      <c r="M12" s="77"/>
      <c r="N12" s="78"/>
      <c r="O12" s="79"/>
      <c r="P12" s="76"/>
      <c r="Q12" s="76"/>
      <c r="R12" s="77"/>
      <c r="S12" s="78"/>
      <c r="T12" s="79"/>
      <c r="U12" s="76"/>
      <c r="V12" s="76"/>
      <c r="W12" s="77"/>
      <c r="X12" s="78"/>
      <c r="Y12" s="79"/>
      <c r="Z12" s="81"/>
      <c r="AA12" s="81"/>
      <c r="AB12" s="82"/>
      <c r="AC12" s="83"/>
      <c r="AD12" s="84"/>
    </row>
    <row r="13" spans="1:30" x14ac:dyDescent="0.25">
      <c r="A13" s="4" t="s">
        <v>41</v>
      </c>
      <c r="B13" s="176"/>
      <c r="C13" s="177">
        <v>2829</v>
      </c>
      <c r="D13" s="2">
        <v>8.1340159128144695E-3</v>
      </c>
      <c r="E13" s="178">
        <v>153965.73432232099</v>
      </c>
      <c r="F13" s="76"/>
      <c r="G13" s="76"/>
      <c r="H13" s="77"/>
      <c r="I13" s="78"/>
      <c r="J13" s="79"/>
      <c r="K13" s="76"/>
      <c r="L13" s="76"/>
      <c r="M13" s="77"/>
      <c r="N13" s="78"/>
      <c r="O13" s="79"/>
      <c r="P13" s="76"/>
      <c r="Q13" s="76"/>
      <c r="R13" s="77"/>
      <c r="S13" s="78"/>
      <c r="T13" s="79"/>
      <c r="U13" s="76"/>
      <c r="V13" s="76"/>
      <c r="W13" s="77"/>
      <c r="X13" s="78"/>
      <c r="Y13" s="79"/>
      <c r="Z13" s="81"/>
      <c r="AA13" s="81"/>
      <c r="AB13" s="82"/>
      <c r="AC13" s="83"/>
      <c r="AD13" s="84"/>
    </row>
    <row r="14" spans="1:30" x14ac:dyDescent="0.25">
      <c r="A14" s="4" t="s">
        <v>59</v>
      </c>
      <c r="B14" s="176"/>
      <c r="C14" s="177">
        <v>30</v>
      </c>
      <c r="D14" s="2">
        <v>0</v>
      </c>
      <c r="E14" s="178">
        <v>0</v>
      </c>
      <c r="F14" s="76"/>
      <c r="G14" s="76"/>
      <c r="H14" s="77"/>
      <c r="I14" s="78"/>
      <c r="J14" s="79"/>
      <c r="K14" s="76"/>
      <c r="L14" s="76"/>
      <c r="M14" s="77"/>
      <c r="N14" s="78"/>
      <c r="O14" s="79"/>
      <c r="P14" s="76"/>
      <c r="Q14" s="76"/>
      <c r="R14" s="77"/>
      <c r="S14" s="78"/>
      <c r="T14" s="79"/>
      <c r="U14" s="76"/>
      <c r="V14" s="76"/>
      <c r="W14" s="77"/>
      <c r="X14" s="78"/>
      <c r="Y14" s="79"/>
      <c r="Z14" s="81"/>
      <c r="AA14" s="81"/>
      <c r="AB14" s="82"/>
      <c r="AC14" s="83"/>
      <c r="AD14" s="84"/>
    </row>
    <row r="15" spans="1:30" x14ac:dyDescent="0.25">
      <c r="A15" s="4" t="s">
        <v>496</v>
      </c>
      <c r="B15" s="176"/>
      <c r="C15" s="177">
        <v>1</v>
      </c>
      <c r="D15" s="2">
        <v>0</v>
      </c>
      <c r="E15" s="178">
        <v>0</v>
      </c>
      <c r="F15" s="76"/>
      <c r="G15" s="76"/>
      <c r="H15" s="77"/>
      <c r="I15" s="78"/>
      <c r="J15" s="79"/>
      <c r="K15" s="76"/>
      <c r="L15" s="76"/>
      <c r="M15" s="77"/>
      <c r="N15" s="78"/>
      <c r="O15" s="79"/>
      <c r="P15" s="76"/>
      <c r="Q15" s="76"/>
      <c r="R15" s="77"/>
      <c r="S15" s="78"/>
      <c r="T15" s="79"/>
      <c r="U15" s="76"/>
      <c r="V15" s="76"/>
      <c r="W15" s="77"/>
      <c r="X15" s="78"/>
      <c r="Y15" s="79"/>
      <c r="Z15" s="81"/>
      <c r="AA15" s="81"/>
      <c r="AB15" s="82"/>
      <c r="AC15" s="83"/>
      <c r="AD15" s="84"/>
    </row>
    <row r="16" spans="1:30" x14ac:dyDescent="0.25">
      <c r="A16" s="4" t="s">
        <v>61</v>
      </c>
      <c r="B16" s="176"/>
      <c r="C16" s="177">
        <v>944</v>
      </c>
      <c r="D16" s="2">
        <v>4.1447886643795704E-3</v>
      </c>
      <c r="E16" s="178">
        <v>24510.9889089444</v>
      </c>
      <c r="F16" s="76"/>
      <c r="G16" s="76"/>
      <c r="H16" s="77"/>
      <c r="I16" s="78"/>
      <c r="J16" s="79"/>
      <c r="K16" s="76"/>
      <c r="L16" s="76"/>
      <c r="M16" s="77"/>
      <c r="N16" s="78"/>
      <c r="O16" s="79"/>
      <c r="P16" s="76"/>
      <c r="Q16" s="76"/>
      <c r="R16" s="77"/>
      <c r="S16" s="78"/>
      <c r="T16" s="79"/>
      <c r="U16" s="76"/>
      <c r="V16" s="76"/>
      <c r="W16" s="77"/>
      <c r="X16" s="78"/>
      <c r="Y16" s="79"/>
      <c r="Z16" s="81"/>
      <c r="AA16" s="81"/>
      <c r="AB16" s="82"/>
      <c r="AC16" s="83"/>
      <c r="AD16" s="84"/>
    </row>
    <row r="17" spans="1:30" x14ac:dyDescent="0.25">
      <c r="A17" s="438" t="s">
        <v>70</v>
      </c>
      <c r="B17" s="179"/>
      <c r="C17" s="180">
        <v>10809</v>
      </c>
      <c r="D17" s="3">
        <v>7.85599477605399E-3</v>
      </c>
      <c r="E17" s="181">
        <v>554044.50762608799</v>
      </c>
      <c r="F17" s="76"/>
      <c r="G17" s="76"/>
      <c r="H17" s="77"/>
      <c r="I17" s="78"/>
      <c r="J17" s="79"/>
      <c r="K17" s="76"/>
      <c r="L17" s="76"/>
      <c r="M17" s="77"/>
      <c r="N17" s="78"/>
      <c r="O17" s="79"/>
      <c r="P17" s="76"/>
      <c r="Q17" s="76"/>
      <c r="R17" s="77"/>
      <c r="S17" s="78"/>
      <c r="T17" s="79"/>
      <c r="U17" s="76"/>
      <c r="V17" s="76"/>
      <c r="W17" s="77"/>
      <c r="X17" s="78"/>
      <c r="Y17" s="79"/>
      <c r="Z17" s="81"/>
      <c r="AA17" s="81"/>
      <c r="AB17" s="82"/>
      <c r="AC17" s="83"/>
      <c r="AD17" s="84"/>
    </row>
    <row r="18" spans="1:30" x14ac:dyDescent="0.25">
      <c r="F18" s="76"/>
      <c r="G18" s="76"/>
      <c r="H18" s="77"/>
      <c r="I18" s="78"/>
      <c r="J18" s="79"/>
      <c r="K18" s="76"/>
      <c r="L18" s="76"/>
      <c r="M18" s="77"/>
      <c r="N18" s="78"/>
      <c r="O18" s="79"/>
      <c r="P18" s="76"/>
      <c r="Q18" s="76"/>
      <c r="R18" s="77"/>
      <c r="S18" s="78"/>
      <c r="T18" s="79"/>
      <c r="U18" s="76"/>
      <c r="V18" s="76"/>
      <c r="W18" s="77"/>
      <c r="X18" s="78"/>
      <c r="Y18" s="79"/>
      <c r="Z18" s="81"/>
      <c r="AA18" s="81"/>
      <c r="AB18" s="82"/>
      <c r="AC18" s="83"/>
      <c r="AD18" s="84"/>
    </row>
    <row r="19" spans="1:30" x14ac:dyDescent="0.25">
      <c r="A19" s="182" t="s">
        <v>73</v>
      </c>
      <c r="B19" s="165"/>
      <c r="C19" s="182" t="s">
        <v>290</v>
      </c>
      <c r="D19" s="182" t="s">
        <v>1</v>
      </c>
      <c r="E19" s="175" t="s">
        <v>291</v>
      </c>
      <c r="F19" s="76"/>
      <c r="G19" s="76"/>
      <c r="H19" s="77"/>
      <c r="I19" s="78"/>
      <c r="J19" s="79"/>
      <c r="K19" s="76"/>
      <c r="L19" s="76"/>
      <c r="M19" s="77"/>
      <c r="N19" s="78"/>
      <c r="O19" s="79"/>
      <c r="P19" s="76"/>
      <c r="Q19" s="76"/>
      <c r="R19" s="77"/>
      <c r="S19" s="78"/>
      <c r="T19" s="79"/>
      <c r="U19" s="76"/>
      <c r="V19" s="76"/>
      <c r="W19" s="77"/>
      <c r="X19" s="78"/>
      <c r="Y19" s="79"/>
      <c r="Z19" s="81"/>
      <c r="AA19" s="81"/>
      <c r="AB19" s="82"/>
      <c r="AC19" s="83"/>
      <c r="AD19" s="84"/>
    </row>
    <row r="20" spans="1:30" x14ac:dyDescent="0.25">
      <c r="A20" s="4" t="s">
        <v>23</v>
      </c>
      <c r="B20" s="176"/>
      <c r="C20" s="177">
        <v>321</v>
      </c>
      <c r="D20" s="2">
        <v>7.0700507559993296E-3</v>
      </c>
      <c r="E20" s="178">
        <v>13907.479594178099</v>
      </c>
      <c r="F20" s="76"/>
      <c r="G20" s="76"/>
      <c r="H20" s="77"/>
      <c r="I20" s="78"/>
      <c r="J20" s="79"/>
      <c r="K20" s="76"/>
      <c r="L20" s="76"/>
      <c r="M20" s="77"/>
      <c r="N20" s="78"/>
      <c r="O20" s="79"/>
      <c r="P20" s="76"/>
      <c r="Q20" s="76"/>
      <c r="R20" s="77"/>
      <c r="S20" s="78"/>
      <c r="T20" s="79"/>
      <c r="U20" s="76"/>
      <c r="V20" s="76"/>
      <c r="W20" s="77"/>
      <c r="X20" s="78"/>
      <c r="Y20" s="79"/>
      <c r="Z20" s="81"/>
      <c r="AA20" s="81"/>
      <c r="AB20" s="82"/>
      <c r="AC20" s="83"/>
      <c r="AD20" s="84"/>
    </row>
    <row r="21" spans="1:30" x14ac:dyDescent="0.25">
      <c r="A21" s="4" t="s">
        <v>62</v>
      </c>
      <c r="B21" s="176"/>
      <c r="C21" s="177">
        <v>203</v>
      </c>
      <c r="D21" s="2">
        <v>4.78348939555748E-4</v>
      </c>
      <c r="E21" s="178">
        <v>503.93765671232899</v>
      </c>
      <c r="F21" s="76"/>
      <c r="G21" s="76"/>
      <c r="H21" s="77"/>
      <c r="I21" s="78"/>
      <c r="J21" s="79"/>
      <c r="K21" s="76"/>
      <c r="L21" s="76"/>
      <c r="M21" s="77"/>
      <c r="N21" s="78"/>
      <c r="O21" s="79"/>
      <c r="P21" s="76"/>
      <c r="Q21" s="76"/>
      <c r="R21" s="77"/>
      <c r="S21" s="78"/>
      <c r="T21" s="79"/>
      <c r="U21" s="76"/>
      <c r="V21" s="76"/>
      <c r="W21" s="77"/>
      <c r="X21" s="78"/>
      <c r="Y21" s="79"/>
      <c r="Z21" s="81"/>
      <c r="AA21" s="81"/>
      <c r="AB21" s="82"/>
      <c r="AC21" s="83"/>
      <c r="AD21" s="84"/>
    </row>
    <row r="22" spans="1:30" x14ac:dyDescent="0.25">
      <c r="A22" s="4" t="s">
        <v>42</v>
      </c>
      <c r="B22" s="176"/>
      <c r="C22" s="177">
        <v>165</v>
      </c>
      <c r="D22" s="2">
        <v>0</v>
      </c>
      <c r="E22" s="178">
        <v>0</v>
      </c>
      <c r="F22" s="76"/>
      <c r="G22" s="76"/>
      <c r="H22" s="77"/>
      <c r="I22" s="78"/>
      <c r="J22" s="79"/>
      <c r="K22" s="76"/>
      <c r="L22" s="76"/>
      <c r="M22" s="77"/>
      <c r="N22" s="78"/>
      <c r="O22" s="79"/>
      <c r="P22" s="76"/>
      <c r="Q22" s="76"/>
      <c r="R22" s="77"/>
      <c r="S22" s="78"/>
      <c r="T22" s="79"/>
      <c r="U22" s="76"/>
      <c r="V22" s="76"/>
      <c r="W22" s="77"/>
      <c r="X22" s="78"/>
      <c r="Y22" s="79"/>
      <c r="Z22" s="81"/>
      <c r="AA22" s="81"/>
      <c r="AB22" s="82"/>
      <c r="AC22" s="83"/>
      <c r="AD22" s="84"/>
    </row>
    <row r="23" spans="1:30" x14ac:dyDescent="0.25">
      <c r="A23" s="4" t="s">
        <v>63</v>
      </c>
      <c r="B23" s="176"/>
      <c r="C23" s="177">
        <v>48</v>
      </c>
      <c r="D23" s="2">
        <v>1.5239264685093099E-2</v>
      </c>
      <c r="E23" s="178">
        <v>3046.4789726027402</v>
      </c>
      <c r="F23" s="76"/>
      <c r="G23" s="76"/>
      <c r="H23" s="77"/>
      <c r="I23" s="78"/>
      <c r="J23" s="79"/>
      <c r="K23" s="76"/>
      <c r="L23" s="76"/>
      <c r="M23" s="77"/>
      <c r="N23" s="78"/>
      <c r="O23" s="79"/>
      <c r="P23" s="76"/>
      <c r="Q23" s="76"/>
      <c r="R23" s="77"/>
      <c r="S23" s="78"/>
      <c r="T23" s="79"/>
      <c r="U23" s="76"/>
      <c r="V23" s="76"/>
      <c r="W23" s="77"/>
      <c r="X23" s="78"/>
      <c r="Y23" s="79"/>
      <c r="Z23" s="81"/>
      <c r="AA23" s="81"/>
      <c r="AB23" s="82"/>
      <c r="AC23" s="83"/>
      <c r="AD23" s="84"/>
    </row>
    <row r="24" spans="1:30" x14ac:dyDescent="0.25">
      <c r="A24" s="4" t="s">
        <v>13</v>
      </c>
      <c r="B24" s="176"/>
      <c r="C24" s="177">
        <v>73</v>
      </c>
      <c r="D24" s="2">
        <v>1.9459007673893199E-4</v>
      </c>
      <c r="E24" s="178">
        <v>139</v>
      </c>
      <c r="F24" s="76"/>
      <c r="G24" s="76"/>
      <c r="H24" s="77"/>
      <c r="I24" s="78"/>
      <c r="J24" s="79"/>
      <c r="K24" s="76"/>
      <c r="L24" s="76"/>
      <c r="M24" s="77"/>
      <c r="N24" s="78"/>
      <c r="O24" s="79"/>
      <c r="P24" s="76"/>
      <c r="Q24" s="76"/>
      <c r="R24" s="77"/>
      <c r="S24" s="78"/>
      <c r="T24" s="79"/>
      <c r="U24" s="76"/>
      <c r="V24" s="76"/>
      <c r="W24" s="77"/>
      <c r="X24" s="78"/>
      <c r="Y24" s="79"/>
      <c r="Z24" s="81"/>
      <c r="AA24" s="81"/>
      <c r="AB24" s="82"/>
      <c r="AC24" s="83"/>
      <c r="AD24" s="84"/>
    </row>
    <row r="25" spans="1:30" x14ac:dyDescent="0.25">
      <c r="A25" s="4" t="s">
        <v>3</v>
      </c>
      <c r="B25" s="176"/>
      <c r="C25" s="177">
        <v>44</v>
      </c>
      <c r="D25" s="2">
        <v>0</v>
      </c>
      <c r="E25" s="178">
        <v>0</v>
      </c>
      <c r="F25" s="76"/>
      <c r="G25" s="76"/>
      <c r="H25" s="77"/>
      <c r="I25" s="78"/>
      <c r="J25" s="79"/>
      <c r="K25" s="76"/>
      <c r="L25" s="76"/>
      <c r="M25" s="77"/>
      <c r="N25" s="78"/>
      <c r="O25" s="79"/>
      <c r="P25" s="76"/>
      <c r="Q25" s="76"/>
      <c r="R25" s="77"/>
      <c r="S25" s="78"/>
      <c r="T25" s="79"/>
      <c r="U25" s="76"/>
      <c r="V25" s="76"/>
      <c r="W25" s="77"/>
      <c r="X25" s="78"/>
      <c r="Y25" s="79"/>
      <c r="Z25" s="81"/>
      <c r="AA25" s="81"/>
      <c r="AB25" s="82"/>
      <c r="AC25" s="83"/>
      <c r="AD25" s="84"/>
    </row>
    <row r="26" spans="1:30" x14ac:dyDescent="0.25">
      <c r="A26" s="4" t="s">
        <v>24</v>
      </c>
      <c r="B26" s="176"/>
      <c r="C26" s="177">
        <v>255</v>
      </c>
      <c r="D26" s="2">
        <v>8.5847000184321402E-3</v>
      </c>
      <c r="E26" s="178">
        <v>13072.275390274001</v>
      </c>
      <c r="F26" s="76"/>
      <c r="G26" s="76"/>
      <c r="H26" s="77"/>
      <c r="I26" s="78"/>
      <c r="J26" s="79"/>
      <c r="K26" s="76"/>
      <c r="L26" s="76"/>
      <c r="M26" s="77"/>
      <c r="N26" s="78"/>
      <c r="O26" s="79"/>
      <c r="P26" s="76"/>
      <c r="Q26" s="76"/>
      <c r="R26" s="77"/>
      <c r="S26" s="78"/>
      <c r="T26" s="79"/>
      <c r="U26" s="76"/>
      <c r="V26" s="76"/>
      <c r="W26" s="77"/>
      <c r="X26" s="78"/>
      <c r="Y26" s="79"/>
      <c r="Z26" s="81"/>
      <c r="AA26" s="81"/>
      <c r="AB26" s="82"/>
      <c r="AC26" s="83"/>
      <c r="AD26" s="84"/>
    </row>
    <row r="27" spans="1:30" ht="22.5" x14ac:dyDescent="0.25">
      <c r="A27" s="4" t="s">
        <v>43</v>
      </c>
      <c r="B27" s="176"/>
      <c r="C27" s="177">
        <v>369</v>
      </c>
      <c r="D27" s="2">
        <v>1.0654331888252299E-2</v>
      </c>
      <c r="E27" s="178">
        <v>27650.053958424702</v>
      </c>
      <c r="F27" s="76"/>
      <c r="G27" s="76"/>
      <c r="H27" s="77"/>
      <c r="I27" s="78"/>
      <c r="J27" s="79"/>
      <c r="K27" s="76"/>
      <c r="L27" s="76"/>
      <c r="M27" s="77"/>
      <c r="N27" s="78"/>
      <c r="O27" s="79"/>
      <c r="P27" s="76"/>
      <c r="Q27" s="76"/>
      <c r="R27" s="77"/>
      <c r="S27" s="78"/>
      <c r="T27" s="79"/>
      <c r="U27" s="76"/>
      <c r="V27" s="76"/>
      <c r="W27" s="77"/>
      <c r="X27" s="78"/>
      <c r="Y27" s="79"/>
      <c r="Z27" s="81"/>
      <c r="AA27" s="81"/>
      <c r="AB27" s="82"/>
      <c r="AC27" s="83"/>
      <c r="AD27" s="84"/>
    </row>
    <row r="28" spans="1:30" x14ac:dyDescent="0.25">
      <c r="A28" s="4" t="s">
        <v>5</v>
      </c>
      <c r="B28" s="176"/>
      <c r="C28" s="177">
        <v>4</v>
      </c>
      <c r="D28" s="2">
        <v>0</v>
      </c>
      <c r="E28" s="178">
        <v>0</v>
      </c>
      <c r="F28" s="76"/>
      <c r="G28" s="76"/>
      <c r="H28" s="77"/>
      <c r="I28" s="78"/>
      <c r="J28" s="79"/>
      <c r="K28" s="76"/>
      <c r="L28" s="76"/>
      <c r="M28" s="77"/>
      <c r="N28" s="78"/>
      <c r="O28" s="79"/>
      <c r="P28" s="76"/>
      <c r="Q28" s="76"/>
      <c r="R28" s="77"/>
      <c r="S28" s="78"/>
      <c r="T28" s="79"/>
      <c r="U28" s="76"/>
      <c r="V28" s="76"/>
      <c r="W28" s="77"/>
      <c r="X28" s="78"/>
      <c r="Y28" s="79"/>
      <c r="Z28" s="81"/>
      <c r="AA28" s="81"/>
      <c r="AB28" s="82"/>
      <c r="AC28" s="83"/>
      <c r="AD28" s="84"/>
    </row>
    <row r="29" spans="1:30" x14ac:dyDescent="0.25">
      <c r="A29" s="4" t="s">
        <v>14</v>
      </c>
      <c r="B29" s="176"/>
      <c r="C29" s="177">
        <v>30</v>
      </c>
      <c r="D29" s="2">
        <v>1.04974923700726E-2</v>
      </c>
      <c r="E29" s="178">
        <v>3169.2</v>
      </c>
      <c r="F29" s="76"/>
      <c r="G29" s="76"/>
      <c r="H29" s="77"/>
      <c r="I29" s="78"/>
      <c r="J29" s="79"/>
      <c r="K29" s="76"/>
      <c r="L29" s="76"/>
      <c r="M29" s="77"/>
      <c r="N29" s="78"/>
      <c r="O29" s="79"/>
      <c r="P29" s="76"/>
      <c r="Q29" s="76"/>
      <c r="R29" s="77"/>
      <c r="S29" s="78"/>
      <c r="T29" s="79"/>
      <c r="U29" s="76"/>
      <c r="V29" s="76"/>
      <c r="W29" s="77"/>
      <c r="X29" s="78"/>
      <c r="Y29" s="79"/>
      <c r="Z29" s="81"/>
      <c r="AA29" s="81"/>
      <c r="AB29" s="82"/>
      <c r="AC29" s="83"/>
      <c r="AD29" s="84"/>
    </row>
    <row r="30" spans="1:30" ht="22.5" x14ac:dyDescent="0.25">
      <c r="A30" s="4" t="s">
        <v>497</v>
      </c>
      <c r="B30" s="176"/>
      <c r="C30" s="177">
        <v>1</v>
      </c>
      <c r="D30" s="2">
        <v>0</v>
      </c>
      <c r="E30" s="178">
        <v>0</v>
      </c>
      <c r="F30" s="76"/>
      <c r="G30" s="76"/>
      <c r="H30" s="77"/>
      <c r="I30" s="78"/>
      <c r="J30" s="79"/>
      <c r="K30" s="76"/>
      <c r="L30" s="76"/>
      <c r="M30" s="77"/>
      <c r="N30" s="78"/>
      <c r="O30" s="79"/>
      <c r="P30" s="76"/>
      <c r="Q30" s="76"/>
      <c r="R30" s="77"/>
      <c r="S30" s="78"/>
      <c r="T30" s="79"/>
      <c r="U30" s="76"/>
      <c r="V30" s="76"/>
      <c r="W30" s="77"/>
      <c r="X30" s="78"/>
      <c r="Y30" s="79"/>
      <c r="Z30" s="81"/>
      <c r="AA30" s="81"/>
      <c r="AB30" s="82"/>
      <c r="AC30" s="83"/>
      <c r="AD30" s="84"/>
    </row>
    <row r="31" spans="1:30" x14ac:dyDescent="0.25">
      <c r="A31" s="4" t="s">
        <v>44</v>
      </c>
      <c r="B31" s="176"/>
      <c r="C31" s="177">
        <v>127</v>
      </c>
      <c r="D31" s="2">
        <v>7.0984734844352698E-3</v>
      </c>
      <c r="E31" s="178">
        <v>4478.6014318613697</v>
      </c>
      <c r="F31" s="76"/>
      <c r="G31" s="76"/>
      <c r="H31" s="77"/>
      <c r="I31" s="78"/>
      <c r="J31" s="79"/>
      <c r="K31" s="76"/>
      <c r="L31" s="76"/>
      <c r="M31" s="77"/>
      <c r="N31" s="78"/>
      <c r="O31" s="79"/>
      <c r="P31" s="76"/>
      <c r="Q31" s="76"/>
      <c r="R31" s="77"/>
      <c r="S31" s="78"/>
      <c r="T31" s="79"/>
      <c r="U31" s="76"/>
      <c r="V31" s="76"/>
      <c r="W31" s="77"/>
      <c r="X31" s="78"/>
      <c r="Y31" s="79"/>
      <c r="Z31" s="81"/>
      <c r="AA31" s="81"/>
      <c r="AB31" s="82"/>
      <c r="AC31" s="83"/>
      <c r="AD31" s="84"/>
    </row>
    <row r="32" spans="1:30" x14ac:dyDescent="0.25">
      <c r="A32" s="4" t="s">
        <v>64</v>
      </c>
      <c r="B32" s="176"/>
      <c r="C32" s="177">
        <v>90</v>
      </c>
      <c r="D32" s="2">
        <v>4.2647936494314602E-4</v>
      </c>
      <c r="E32" s="178">
        <v>465.53684931506803</v>
      </c>
      <c r="F32" s="76"/>
      <c r="G32" s="76"/>
      <c r="H32" s="77"/>
      <c r="I32" s="78"/>
      <c r="J32" s="79"/>
      <c r="K32" s="76"/>
      <c r="L32" s="76"/>
      <c r="M32" s="77"/>
      <c r="N32" s="78"/>
      <c r="O32" s="79"/>
      <c r="P32" s="76"/>
      <c r="Q32" s="76"/>
      <c r="R32" s="77"/>
      <c r="S32" s="78"/>
      <c r="T32" s="79"/>
      <c r="U32" s="76"/>
      <c r="V32" s="76"/>
      <c r="W32" s="77"/>
      <c r="X32" s="78"/>
      <c r="Y32" s="79"/>
      <c r="Z32" s="81"/>
      <c r="AA32" s="81"/>
      <c r="AB32" s="82"/>
      <c r="AC32" s="83"/>
      <c r="AD32" s="84"/>
    </row>
    <row r="33" spans="1:30" x14ac:dyDescent="0.25">
      <c r="A33" s="4" t="s">
        <v>15</v>
      </c>
      <c r="B33" s="176"/>
      <c r="C33" s="177">
        <v>20</v>
      </c>
      <c r="D33" s="2">
        <v>0</v>
      </c>
      <c r="E33" s="178">
        <v>0</v>
      </c>
      <c r="F33" s="76"/>
      <c r="G33" s="76"/>
      <c r="H33" s="77"/>
      <c r="I33" s="78"/>
      <c r="J33" s="79"/>
      <c r="K33" s="76"/>
      <c r="L33" s="76"/>
      <c r="M33" s="77"/>
      <c r="N33" s="78"/>
      <c r="O33" s="79"/>
      <c r="P33" s="76"/>
      <c r="Q33" s="76"/>
      <c r="R33" s="77"/>
      <c r="S33" s="78"/>
      <c r="T33" s="79"/>
      <c r="U33" s="76"/>
      <c r="V33" s="76"/>
      <c r="W33" s="77"/>
      <c r="X33" s="78"/>
      <c r="Y33" s="79"/>
      <c r="Z33" s="81"/>
      <c r="AA33" s="81"/>
      <c r="AB33" s="82"/>
      <c r="AC33" s="83"/>
      <c r="AD33" s="84"/>
    </row>
    <row r="34" spans="1:30" x14ac:dyDescent="0.25">
      <c r="A34" s="4" t="s">
        <v>45</v>
      </c>
      <c r="B34" s="176"/>
      <c r="C34" s="177">
        <v>337</v>
      </c>
      <c r="D34" s="2">
        <v>5.1717712258414197E-3</v>
      </c>
      <c r="E34" s="178">
        <v>11815.512628738599</v>
      </c>
      <c r="F34" s="76"/>
      <c r="G34" s="76"/>
      <c r="H34" s="77"/>
      <c r="I34" s="78"/>
      <c r="J34" s="79"/>
      <c r="K34" s="76"/>
      <c r="L34" s="76"/>
      <c r="M34" s="77"/>
      <c r="N34" s="78"/>
      <c r="O34" s="79"/>
      <c r="P34" s="76"/>
      <c r="Q34" s="76"/>
      <c r="R34" s="77"/>
      <c r="S34" s="78"/>
      <c r="T34" s="79"/>
      <c r="U34" s="76"/>
      <c r="V34" s="76"/>
      <c r="W34" s="77"/>
      <c r="X34" s="78"/>
      <c r="Y34" s="79"/>
      <c r="Z34" s="81"/>
      <c r="AA34" s="81"/>
      <c r="AB34" s="82"/>
      <c r="AC34" s="83"/>
      <c r="AD34" s="84"/>
    </row>
    <row r="35" spans="1:30" x14ac:dyDescent="0.25">
      <c r="A35" s="4" t="s">
        <v>46</v>
      </c>
      <c r="B35" s="176"/>
      <c r="C35" s="177">
        <v>61</v>
      </c>
      <c r="D35" s="2">
        <v>1.7536730865472E-3</v>
      </c>
      <c r="E35" s="178">
        <v>900.72</v>
      </c>
      <c r="F35" s="76"/>
      <c r="G35" s="76"/>
      <c r="H35" s="77"/>
      <c r="I35" s="78"/>
      <c r="J35" s="79"/>
      <c r="K35" s="76"/>
      <c r="L35" s="76"/>
      <c r="M35" s="77"/>
      <c r="N35" s="78"/>
      <c r="O35" s="79"/>
      <c r="P35" s="76"/>
      <c r="Q35" s="76"/>
      <c r="R35" s="77"/>
      <c r="S35" s="78"/>
      <c r="T35" s="79"/>
      <c r="U35" s="76"/>
      <c r="V35" s="76"/>
      <c r="W35" s="77"/>
      <c r="X35" s="78"/>
      <c r="Y35" s="79"/>
      <c r="Z35" s="81"/>
      <c r="AA35" s="81"/>
      <c r="AB35" s="82"/>
      <c r="AC35" s="83"/>
      <c r="AD35" s="84"/>
    </row>
    <row r="36" spans="1:30" x14ac:dyDescent="0.25">
      <c r="A36" s="4" t="s">
        <v>47</v>
      </c>
      <c r="B36" s="176"/>
      <c r="C36" s="177">
        <v>55</v>
      </c>
      <c r="D36" s="2">
        <v>2.0065017820186801E-2</v>
      </c>
      <c r="E36" s="178">
        <v>3226.8869863013701</v>
      </c>
      <c r="F36" s="76"/>
      <c r="G36" s="76"/>
      <c r="H36" s="77"/>
      <c r="I36" s="78"/>
      <c r="J36" s="79"/>
      <c r="K36" s="76"/>
      <c r="L36" s="76"/>
      <c r="M36" s="77"/>
      <c r="N36" s="78"/>
      <c r="O36" s="79"/>
      <c r="P36" s="76"/>
      <c r="Q36" s="76"/>
      <c r="R36" s="77"/>
      <c r="S36" s="78"/>
      <c r="T36" s="79"/>
      <c r="U36" s="76"/>
      <c r="V36" s="76"/>
      <c r="W36" s="77"/>
      <c r="X36" s="78"/>
      <c r="Y36" s="79"/>
      <c r="Z36" s="81"/>
      <c r="AA36" s="81"/>
      <c r="AB36" s="82"/>
      <c r="AC36" s="83"/>
      <c r="AD36" s="84"/>
    </row>
    <row r="37" spans="1:30" ht="22.5" x14ac:dyDescent="0.25">
      <c r="A37" s="4" t="s">
        <v>25</v>
      </c>
      <c r="B37" s="176"/>
      <c r="C37" s="177">
        <v>69</v>
      </c>
      <c r="D37" s="2">
        <v>0</v>
      </c>
      <c r="E37" s="178">
        <v>0</v>
      </c>
      <c r="F37" s="76"/>
      <c r="G37" s="76"/>
      <c r="H37" s="77"/>
      <c r="I37" s="78"/>
      <c r="J37" s="79"/>
      <c r="K37" s="76"/>
      <c r="L37" s="76"/>
      <c r="M37" s="77"/>
      <c r="N37" s="78"/>
      <c r="O37" s="79"/>
      <c r="P37" s="76"/>
      <c r="Q37" s="76"/>
      <c r="R37" s="77"/>
      <c r="S37" s="78"/>
      <c r="T37" s="79"/>
      <c r="U37" s="76"/>
      <c r="V37" s="76"/>
      <c r="W37" s="77"/>
      <c r="X37" s="78"/>
      <c r="Y37" s="79"/>
      <c r="Z37" s="81"/>
      <c r="AA37" s="81"/>
      <c r="AB37" s="82"/>
      <c r="AC37" s="83"/>
      <c r="AD37" s="84"/>
    </row>
    <row r="38" spans="1:30" x14ac:dyDescent="0.25">
      <c r="A38" s="4" t="s">
        <v>16</v>
      </c>
      <c r="B38" s="176"/>
      <c r="C38" s="177">
        <v>155</v>
      </c>
      <c r="D38" s="2">
        <v>4.4963420424481097E-3</v>
      </c>
      <c r="E38" s="178">
        <v>4984.3669589041101</v>
      </c>
      <c r="F38" s="76"/>
      <c r="G38" s="76"/>
      <c r="H38" s="77"/>
      <c r="I38" s="78"/>
      <c r="J38" s="79"/>
      <c r="K38" s="76"/>
      <c r="L38" s="76"/>
      <c r="M38" s="77"/>
      <c r="N38" s="78"/>
      <c r="O38" s="79"/>
      <c r="P38" s="76"/>
      <c r="Q38" s="76"/>
      <c r="R38" s="77"/>
      <c r="S38" s="78"/>
      <c r="T38" s="79"/>
      <c r="U38" s="76"/>
      <c r="V38" s="76"/>
      <c r="W38" s="77"/>
      <c r="X38" s="78"/>
      <c r="Y38" s="79"/>
      <c r="Z38" s="81"/>
      <c r="AA38" s="81"/>
      <c r="AB38" s="82"/>
      <c r="AC38" s="83"/>
      <c r="AD38" s="84"/>
    </row>
    <row r="39" spans="1:30" x14ac:dyDescent="0.25">
      <c r="A39" s="4" t="s">
        <v>17</v>
      </c>
      <c r="B39" s="176"/>
      <c r="C39" s="177">
        <v>276</v>
      </c>
      <c r="D39" s="2">
        <v>4.0270705193193998E-3</v>
      </c>
      <c r="E39" s="178">
        <v>8723.5547397260307</v>
      </c>
      <c r="F39" s="76"/>
      <c r="G39" s="76"/>
      <c r="H39" s="77"/>
      <c r="I39" s="78"/>
      <c r="J39" s="79"/>
      <c r="K39" s="76"/>
      <c r="L39" s="76"/>
      <c r="M39" s="77"/>
      <c r="N39" s="78"/>
      <c r="O39" s="79"/>
      <c r="P39" s="76"/>
      <c r="Q39" s="76"/>
      <c r="R39" s="77"/>
      <c r="S39" s="78"/>
      <c r="T39" s="79"/>
      <c r="U39" s="76"/>
      <c r="V39" s="76"/>
      <c r="W39" s="77"/>
      <c r="X39" s="78"/>
      <c r="Y39" s="79"/>
      <c r="Z39" s="81"/>
      <c r="AA39" s="81"/>
      <c r="AB39" s="82"/>
      <c r="AC39" s="83"/>
      <c r="AD39" s="84"/>
    </row>
    <row r="40" spans="1:30" x14ac:dyDescent="0.25">
      <c r="A40" s="4" t="s">
        <v>48</v>
      </c>
      <c r="B40" s="176"/>
      <c r="C40" s="177">
        <v>99</v>
      </c>
      <c r="D40" s="2">
        <v>1.2361939359413E-4</v>
      </c>
      <c r="E40" s="178">
        <v>116.76</v>
      </c>
      <c r="F40" s="76"/>
      <c r="G40" s="76"/>
      <c r="H40" s="77"/>
      <c r="I40" s="78"/>
      <c r="J40" s="79"/>
      <c r="K40" s="76"/>
      <c r="L40" s="76"/>
      <c r="M40" s="77"/>
      <c r="N40" s="78"/>
      <c r="O40" s="79"/>
      <c r="P40" s="76"/>
      <c r="Q40" s="76"/>
      <c r="R40" s="77"/>
      <c r="S40" s="78"/>
      <c r="T40" s="79"/>
      <c r="U40" s="76"/>
      <c r="V40" s="76"/>
      <c r="W40" s="77"/>
      <c r="X40" s="78"/>
      <c r="Y40" s="79"/>
      <c r="Z40" s="81"/>
      <c r="AA40" s="81"/>
      <c r="AB40" s="82"/>
      <c r="AC40" s="83"/>
      <c r="AD40" s="84"/>
    </row>
    <row r="41" spans="1:30" x14ac:dyDescent="0.25">
      <c r="A41" s="4" t="s">
        <v>26</v>
      </c>
      <c r="B41" s="176"/>
      <c r="C41" s="177">
        <v>421</v>
      </c>
      <c r="D41" s="2">
        <v>6.0093065787194099E-3</v>
      </c>
      <c r="E41" s="178">
        <v>48279.807590341101</v>
      </c>
      <c r="F41" s="76"/>
      <c r="G41" s="76"/>
      <c r="H41" s="77"/>
      <c r="I41" s="78"/>
      <c r="J41" s="79"/>
      <c r="K41" s="76"/>
      <c r="L41" s="76"/>
      <c r="M41" s="77"/>
      <c r="N41" s="78"/>
      <c r="O41" s="79"/>
      <c r="P41" s="76"/>
      <c r="Q41" s="76"/>
      <c r="R41" s="77"/>
      <c r="S41" s="78"/>
      <c r="T41" s="79"/>
      <c r="U41" s="76"/>
      <c r="V41" s="76"/>
      <c r="W41" s="77"/>
      <c r="X41" s="78"/>
      <c r="Y41" s="79"/>
      <c r="Z41" s="81"/>
      <c r="AA41" s="81"/>
      <c r="AB41" s="82"/>
      <c r="AC41" s="83"/>
      <c r="AD41" s="84"/>
    </row>
    <row r="42" spans="1:30" x14ac:dyDescent="0.25">
      <c r="A42" s="4" t="s">
        <v>27</v>
      </c>
      <c r="B42" s="176"/>
      <c r="C42" s="177">
        <v>114</v>
      </c>
      <c r="D42" s="2">
        <v>1.9651714460705499E-2</v>
      </c>
      <c r="E42" s="178">
        <v>13914.269377876701</v>
      </c>
      <c r="F42" s="76"/>
      <c r="G42" s="76"/>
      <c r="H42" s="77"/>
      <c r="I42" s="78"/>
      <c r="J42" s="79"/>
      <c r="K42" s="76"/>
      <c r="L42" s="76"/>
      <c r="M42" s="77"/>
      <c r="N42" s="78"/>
      <c r="O42" s="79"/>
      <c r="P42" s="76"/>
      <c r="Q42" s="76"/>
      <c r="R42" s="77"/>
      <c r="S42" s="78"/>
      <c r="T42" s="79"/>
      <c r="U42" s="76"/>
      <c r="V42" s="76"/>
      <c r="W42" s="77"/>
      <c r="X42" s="78"/>
      <c r="Y42" s="79"/>
      <c r="Z42" s="81"/>
      <c r="AA42" s="81"/>
      <c r="AB42" s="82"/>
      <c r="AC42" s="83"/>
      <c r="AD42" s="84"/>
    </row>
    <row r="43" spans="1:30" x14ac:dyDescent="0.25">
      <c r="A43" s="4" t="s">
        <v>65</v>
      </c>
      <c r="B43" s="176"/>
      <c r="C43" s="177">
        <v>52</v>
      </c>
      <c r="D43" s="2">
        <v>1.9780494691490302E-2</v>
      </c>
      <c r="E43" s="178">
        <v>9732.3888549717794</v>
      </c>
      <c r="F43" s="76"/>
      <c r="G43" s="76"/>
      <c r="H43" s="77"/>
      <c r="I43" s="78"/>
      <c r="J43" s="79"/>
      <c r="K43" s="76"/>
      <c r="L43" s="76"/>
      <c r="M43" s="77"/>
      <c r="N43" s="78"/>
      <c r="O43" s="79"/>
      <c r="P43" s="76"/>
      <c r="Q43" s="76"/>
      <c r="R43" s="77"/>
      <c r="S43" s="78"/>
      <c r="T43" s="79"/>
      <c r="U43" s="76"/>
      <c r="V43" s="76"/>
      <c r="W43" s="77"/>
      <c r="X43" s="78"/>
      <c r="Y43" s="79"/>
      <c r="Z43" s="81"/>
      <c r="AA43" s="81"/>
      <c r="AB43" s="82"/>
      <c r="AC43" s="83"/>
      <c r="AD43" s="84"/>
    </row>
    <row r="44" spans="1:30" x14ac:dyDescent="0.25">
      <c r="A44" s="4" t="s">
        <v>28</v>
      </c>
      <c r="B44" s="176"/>
      <c r="C44" s="177">
        <v>248</v>
      </c>
      <c r="D44" s="2">
        <v>1.02939533644058E-2</v>
      </c>
      <c r="E44" s="178">
        <v>16329.6309632877</v>
      </c>
      <c r="F44" s="76"/>
      <c r="G44" s="76"/>
      <c r="H44" s="77"/>
      <c r="I44" s="78"/>
      <c r="J44" s="79"/>
      <c r="K44" s="76"/>
      <c r="L44" s="76"/>
      <c r="M44" s="77"/>
      <c r="N44" s="78"/>
      <c r="O44" s="79"/>
      <c r="P44" s="76"/>
      <c r="Q44" s="76"/>
      <c r="R44" s="77"/>
      <c r="S44" s="78"/>
      <c r="T44" s="79"/>
      <c r="U44" s="76"/>
      <c r="V44" s="76"/>
      <c r="W44" s="77"/>
      <c r="X44" s="78"/>
      <c r="Y44" s="79"/>
      <c r="Z44" s="81"/>
      <c r="AA44" s="81"/>
      <c r="AB44" s="82"/>
      <c r="AC44" s="83"/>
      <c r="AD44" s="84"/>
    </row>
    <row r="45" spans="1:30" x14ac:dyDescent="0.25">
      <c r="A45" s="4" t="s">
        <v>49</v>
      </c>
      <c r="B45" s="176"/>
      <c r="C45" s="177">
        <v>181</v>
      </c>
      <c r="D45" s="2">
        <v>3.1395998064990098E-3</v>
      </c>
      <c r="E45" s="178">
        <v>2580.3823068493198</v>
      </c>
      <c r="F45" s="76"/>
      <c r="G45" s="76"/>
      <c r="H45" s="77"/>
      <c r="I45" s="78"/>
      <c r="J45" s="79"/>
      <c r="K45" s="76"/>
      <c r="L45" s="76"/>
      <c r="M45" s="77"/>
      <c r="N45" s="78"/>
      <c r="O45" s="79"/>
      <c r="P45" s="76"/>
      <c r="Q45" s="76"/>
      <c r="R45" s="77"/>
      <c r="S45" s="78"/>
      <c r="T45" s="79"/>
      <c r="U45" s="76"/>
      <c r="V45" s="76"/>
      <c r="W45" s="77"/>
      <c r="X45" s="78"/>
      <c r="Y45" s="79"/>
      <c r="Z45" s="81"/>
      <c r="AA45" s="81"/>
      <c r="AB45" s="82"/>
      <c r="AC45" s="83"/>
      <c r="AD45" s="84"/>
    </row>
    <row r="46" spans="1:30" x14ac:dyDescent="0.25">
      <c r="A46" s="543" t="s">
        <v>66</v>
      </c>
      <c r="B46" s="176"/>
      <c r="C46" s="177">
        <v>159</v>
      </c>
      <c r="D46" s="2">
        <v>1.5675551217695599E-3</v>
      </c>
      <c r="E46" s="178">
        <v>2784.6232876712302</v>
      </c>
      <c r="F46" s="76"/>
      <c r="G46" s="76"/>
      <c r="H46" s="77"/>
      <c r="I46" s="78"/>
      <c r="J46" s="79"/>
      <c r="K46" s="76"/>
      <c r="L46" s="76"/>
      <c r="M46" s="77"/>
      <c r="N46" s="78"/>
      <c r="O46" s="79"/>
      <c r="P46" s="76"/>
      <c r="Q46" s="76"/>
      <c r="R46" s="77"/>
      <c r="S46" s="78"/>
      <c r="T46" s="79"/>
      <c r="U46" s="76"/>
      <c r="V46" s="76"/>
      <c r="W46" s="77"/>
      <c r="X46" s="78"/>
      <c r="Y46" s="79"/>
      <c r="Z46" s="81"/>
      <c r="AA46" s="81"/>
      <c r="AB46" s="82"/>
      <c r="AC46" s="83"/>
      <c r="AD46" s="84"/>
    </row>
    <row r="47" spans="1:30" x14ac:dyDescent="0.25">
      <c r="A47" s="4" t="s">
        <v>29</v>
      </c>
      <c r="B47" s="176"/>
      <c r="C47" s="177">
        <v>138</v>
      </c>
      <c r="D47" s="2">
        <v>3.41894163254545E-3</v>
      </c>
      <c r="E47" s="178">
        <v>3653.9845890411002</v>
      </c>
      <c r="F47" s="76"/>
      <c r="G47" s="76"/>
      <c r="H47" s="77"/>
      <c r="I47" s="78"/>
      <c r="J47" s="79"/>
      <c r="K47" s="76"/>
      <c r="L47" s="76"/>
      <c r="M47" s="77"/>
      <c r="N47" s="78"/>
      <c r="O47" s="79"/>
      <c r="P47" s="76"/>
      <c r="Q47" s="76"/>
      <c r="R47" s="77"/>
      <c r="S47" s="78"/>
      <c r="T47" s="79"/>
      <c r="U47" s="76"/>
      <c r="V47" s="76"/>
      <c r="W47" s="77"/>
      <c r="X47" s="78"/>
      <c r="Y47" s="79"/>
      <c r="Z47" s="81"/>
      <c r="AA47" s="81"/>
      <c r="AB47" s="82"/>
      <c r="AC47" s="83"/>
      <c r="AD47" s="84"/>
    </row>
    <row r="48" spans="1:30" ht="22.5" x14ac:dyDescent="0.25">
      <c r="A48" s="4" t="s">
        <v>7</v>
      </c>
      <c r="B48" s="176"/>
      <c r="C48" s="177">
        <v>239</v>
      </c>
      <c r="D48" s="2">
        <v>1.38039245725575E-2</v>
      </c>
      <c r="E48" s="178">
        <v>13113.331562739701</v>
      </c>
      <c r="F48" s="76"/>
      <c r="G48" s="76"/>
      <c r="H48" s="77"/>
      <c r="I48" s="78"/>
      <c r="J48" s="79"/>
      <c r="K48" s="76"/>
      <c r="L48" s="76"/>
      <c r="M48" s="77"/>
      <c r="N48" s="78"/>
      <c r="O48" s="79"/>
      <c r="P48" s="76"/>
      <c r="Q48" s="76"/>
      <c r="R48" s="77"/>
      <c r="S48" s="78"/>
      <c r="T48" s="79"/>
      <c r="U48" s="76"/>
      <c r="V48" s="76"/>
      <c r="W48" s="77"/>
      <c r="X48" s="78"/>
      <c r="Y48" s="79"/>
      <c r="Z48" s="81"/>
      <c r="AA48" s="81"/>
      <c r="AB48" s="82"/>
      <c r="AC48" s="83"/>
      <c r="AD48" s="84"/>
    </row>
    <row r="49" spans="1:30" x14ac:dyDescent="0.25">
      <c r="A49" s="4" t="s">
        <v>30</v>
      </c>
      <c r="B49" s="176"/>
      <c r="C49" s="177">
        <v>450</v>
      </c>
      <c r="D49" s="2">
        <v>1.2090338668600299E-2</v>
      </c>
      <c r="E49" s="178">
        <v>27618.557824760301</v>
      </c>
      <c r="F49" s="76"/>
      <c r="G49" s="76"/>
      <c r="H49" s="77"/>
      <c r="I49" s="78"/>
      <c r="J49" s="79"/>
      <c r="K49" s="76"/>
      <c r="L49" s="76"/>
      <c r="M49" s="77"/>
      <c r="N49" s="78"/>
      <c r="O49" s="79"/>
      <c r="P49" s="76"/>
      <c r="Q49" s="76"/>
      <c r="R49" s="77"/>
      <c r="S49" s="78"/>
      <c r="T49" s="79"/>
      <c r="U49" s="76"/>
      <c r="V49" s="76"/>
      <c r="W49" s="77"/>
      <c r="X49" s="78"/>
      <c r="Y49" s="79"/>
      <c r="Z49" s="81"/>
      <c r="AA49" s="81"/>
      <c r="AB49" s="82"/>
      <c r="AC49" s="83"/>
      <c r="AD49" s="84"/>
    </row>
    <row r="50" spans="1:30" x14ac:dyDescent="0.25">
      <c r="A50" s="4" t="s">
        <v>31</v>
      </c>
      <c r="B50" s="176"/>
      <c r="C50" s="177">
        <v>93</v>
      </c>
      <c r="D50" s="2">
        <v>4.3768854081197598E-3</v>
      </c>
      <c r="E50" s="178">
        <v>2549.5292654109599</v>
      </c>
      <c r="F50" s="76"/>
      <c r="G50" s="76"/>
      <c r="H50" s="77"/>
      <c r="I50" s="78"/>
      <c r="J50" s="79"/>
      <c r="K50" s="76"/>
      <c r="L50" s="76"/>
      <c r="M50" s="77"/>
      <c r="N50" s="78"/>
      <c r="O50" s="79"/>
      <c r="P50" s="76"/>
      <c r="Q50" s="76"/>
      <c r="R50" s="77"/>
      <c r="S50" s="78"/>
      <c r="T50" s="79"/>
      <c r="U50" s="76"/>
      <c r="V50" s="76"/>
      <c r="W50" s="77"/>
      <c r="X50" s="78"/>
      <c r="Y50" s="79"/>
      <c r="Z50" s="81"/>
      <c r="AA50" s="81"/>
      <c r="AB50" s="82"/>
      <c r="AC50" s="83"/>
      <c r="AD50" s="84"/>
    </row>
    <row r="51" spans="1:30" x14ac:dyDescent="0.25">
      <c r="A51" s="4" t="s">
        <v>281</v>
      </c>
      <c r="B51" s="176"/>
      <c r="C51" s="177">
        <v>7</v>
      </c>
      <c r="D51" s="2">
        <v>0</v>
      </c>
      <c r="E51" s="178">
        <v>0</v>
      </c>
      <c r="F51" s="76"/>
      <c r="G51" s="76"/>
      <c r="H51" s="77"/>
      <c r="I51" s="78"/>
      <c r="J51" s="79"/>
      <c r="K51" s="76"/>
      <c r="L51" s="76"/>
      <c r="M51" s="77"/>
      <c r="N51" s="78"/>
      <c r="O51" s="79"/>
      <c r="P51" s="76"/>
      <c r="Q51" s="76"/>
      <c r="R51" s="77"/>
      <c r="S51" s="78"/>
      <c r="T51" s="79"/>
      <c r="U51" s="76"/>
      <c r="V51" s="76"/>
      <c r="W51" s="77"/>
      <c r="X51" s="78"/>
      <c r="Y51" s="79"/>
      <c r="Z51" s="81"/>
      <c r="AA51" s="81"/>
      <c r="AB51" s="82"/>
      <c r="AC51" s="85"/>
      <c r="AD51" s="84"/>
    </row>
    <row r="52" spans="1:30" x14ac:dyDescent="0.25">
      <c r="A52" s="4" t="s">
        <v>8</v>
      </c>
      <c r="B52" s="176"/>
      <c r="C52" s="177">
        <v>439</v>
      </c>
      <c r="D52" s="2">
        <v>3.9956727810890802E-3</v>
      </c>
      <c r="E52" s="178">
        <v>18244.269501438401</v>
      </c>
      <c r="F52" s="76"/>
      <c r="G52" s="76"/>
      <c r="H52" s="77"/>
      <c r="I52" s="78"/>
      <c r="J52" s="79"/>
      <c r="K52" s="76"/>
      <c r="L52" s="76"/>
      <c r="M52" s="77"/>
      <c r="N52" s="78"/>
      <c r="O52" s="79"/>
      <c r="P52" s="76"/>
      <c r="Q52" s="76"/>
      <c r="R52" s="77"/>
      <c r="S52" s="78"/>
      <c r="T52" s="79"/>
      <c r="U52" s="76"/>
      <c r="V52" s="76"/>
      <c r="W52" s="77"/>
      <c r="X52" s="78"/>
      <c r="Y52" s="79"/>
      <c r="Z52" s="81"/>
      <c r="AA52" s="81"/>
      <c r="AB52" s="82"/>
      <c r="AC52" s="83"/>
      <c r="AD52" s="84"/>
    </row>
    <row r="53" spans="1:30" x14ac:dyDescent="0.25">
      <c r="A53" s="4" t="s">
        <v>18</v>
      </c>
      <c r="B53" s="176"/>
      <c r="C53" s="177">
        <v>237</v>
      </c>
      <c r="D53" s="2">
        <v>9.6925916633136999E-4</v>
      </c>
      <c r="E53" s="178">
        <v>769.33146027397299</v>
      </c>
      <c r="F53" s="76"/>
      <c r="G53" s="76"/>
      <c r="H53" s="77"/>
      <c r="I53" s="78"/>
      <c r="J53" s="79"/>
      <c r="K53" s="76"/>
      <c r="L53" s="76"/>
      <c r="M53" s="77"/>
      <c r="N53" s="78"/>
      <c r="O53" s="79"/>
      <c r="P53" s="76"/>
      <c r="Q53" s="76"/>
      <c r="R53" s="77"/>
      <c r="S53" s="78"/>
      <c r="T53" s="79"/>
      <c r="U53" s="76"/>
      <c r="V53" s="76"/>
      <c r="W53" s="77"/>
      <c r="X53" s="78"/>
      <c r="Y53" s="79"/>
      <c r="Z53" s="81"/>
      <c r="AA53" s="81"/>
      <c r="AB53" s="82"/>
      <c r="AC53" s="83"/>
      <c r="AD53" s="84"/>
    </row>
    <row r="54" spans="1:30" x14ac:dyDescent="0.25">
      <c r="A54" s="4" t="s">
        <v>293</v>
      </c>
      <c r="B54" s="176"/>
      <c r="C54" s="177">
        <v>13</v>
      </c>
      <c r="D54" s="2">
        <v>0</v>
      </c>
      <c r="E54" s="178">
        <v>0</v>
      </c>
      <c r="F54" s="76"/>
      <c r="G54" s="76"/>
      <c r="H54" s="77"/>
      <c r="I54" s="78"/>
      <c r="J54" s="79"/>
      <c r="K54" s="76"/>
      <c r="L54" s="76"/>
      <c r="M54" s="77"/>
      <c r="N54" s="78"/>
      <c r="O54" s="79"/>
      <c r="P54" s="76"/>
      <c r="Q54" s="76"/>
      <c r="R54" s="77"/>
      <c r="S54" s="78"/>
      <c r="T54" s="79"/>
      <c r="U54" s="76"/>
      <c r="V54" s="76"/>
      <c r="W54" s="77"/>
      <c r="X54" s="78"/>
      <c r="Y54" s="79"/>
      <c r="Z54" s="81"/>
      <c r="AA54" s="81"/>
      <c r="AB54" s="82"/>
      <c r="AC54" s="83"/>
      <c r="AD54" s="84"/>
    </row>
    <row r="55" spans="1:30" x14ac:dyDescent="0.25">
      <c r="A55" s="4" t="s">
        <v>67</v>
      </c>
      <c r="B55" s="176"/>
      <c r="C55" s="177">
        <v>224</v>
      </c>
      <c r="D55" s="2">
        <v>6.5812509046415503E-3</v>
      </c>
      <c r="E55" s="178">
        <v>4323.5164383561596</v>
      </c>
      <c r="F55" s="76"/>
      <c r="G55" s="76"/>
      <c r="H55" s="77"/>
      <c r="I55" s="78"/>
      <c r="J55" s="79"/>
      <c r="K55" s="76"/>
      <c r="L55" s="76"/>
      <c r="M55" s="77"/>
      <c r="N55" s="78"/>
      <c r="O55" s="79"/>
      <c r="P55" s="76"/>
      <c r="Q55" s="76"/>
      <c r="R55" s="77"/>
      <c r="S55" s="78"/>
      <c r="T55" s="79"/>
      <c r="U55" s="76"/>
      <c r="V55" s="76"/>
      <c r="W55" s="77"/>
      <c r="X55" s="78"/>
      <c r="Y55" s="79"/>
      <c r="Z55" s="81"/>
      <c r="AA55" s="81"/>
      <c r="AB55" s="82"/>
      <c r="AC55" s="83"/>
      <c r="AD55" s="84"/>
    </row>
    <row r="56" spans="1:30" x14ac:dyDescent="0.25">
      <c r="A56" s="4" t="s">
        <v>32</v>
      </c>
      <c r="B56" s="176"/>
      <c r="C56" s="177">
        <v>17</v>
      </c>
      <c r="D56" s="2">
        <v>7.18184429761563E-4</v>
      </c>
      <c r="E56" s="178">
        <v>229.671232876712</v>
      </c>
      <c r="F56" s="76"/>
      <c r="G56" s="76"/>
      <c r="H56" s="77"/>
      <c r="I56" s="78"/>
      <c r="J56" s="79"/>
      <c r="K56" s="76"/>
      <c r="L56" s="76"/>
      <c r="M56" s="77"/>
      <c r="N56" s="78"/>
      <c r="O56" s="79"/>
      <c r="P56" s="76"/>
      <c r="Q56" s="76"/>
      <c r="R56" s="77"/>
      <c r="S56" s="78"/>
      <c r="T56" s="79"/>
      <c r="U56" s="76"/>
      <c r="V56" s="76"/>
      <c r="W56" s="77"/>
      <c r="X56" s="78"/>
      <c r="Y56" s="79"/>
      <c r="Z56" s="81"/>
      <c r="AA56" s="81"/>
      <c r="AB56" s="82"/>
      <c r="AC56" s="83"/>
      <c r="AD56" s="84"/>
    </row>
    <row r="57" spans="1:30" x14ac:dyDescent="0.25">
      <c r="A57" s="4" t="s">
        <v>68</v>
      </c>
      <c r="B57" s="176"/>
      <c r="C57" s="177">
        <v>173</v>
      </c>
      <c r="D57" s="2">
        <v>1.59991578716945E-3</v>
      </c>
      <c r="E57" s="178">
        <v>3654.5068493150702</v>
      </c>
      <c r="F57" s="76"/>
      <c r="G57" s="76"/>
      <c r="H57" s="77"/>
      <c r="I57" s="78"/>
      <c r="J57" s="79"/>
      <c r="K57" s="76"/>
      <c r="L57" s="76"/>
      <c r="M57" s="77"/>
      <c r="N57" s="78"/>
      <c r="O57" s="79"/>
      <c r="P57" s="76"/>
      <c r="Q57" s="76"/>
      <c r="R57" s="77"/>
      <c r="S57" s="78"/>
      <c r="T57" s="79"/>
      <c r="U57" s="76"/>
      <c r="V57" s="76"/>
      <c r="W57" s="77"/>
      <c r="X57" s="78"/>
      <c r="Y57" s="79"/>
      <c r="Z57" s="81"/>
      <c r="AA57" s="81"/>
      <c r="AB57" s="82"/>
      <c r="AC57" s="83"/>
      <c r="AD57" s="84"/>
    </row>
    <row r="58" spans="1:30" ht="22.5" x14ac:dyDescent="0.25">
      <c r="A58" s="4" t="s">
        <v>33</v>
      </c>
      <c r="B58" s="176"/>
      <c r="C58" s="177">
        <v>151</v>
      </c>
      <c r="D58" s="2">
        <v>1.7182804362600501E-2</v>
      </c>
      <c r="E58" s="178">
        <v>9197.0513698630093</v>
      </c>
      <c r="F58" s="76"/>
      <c r="G58" s="76"/>
      <c r="H58" s="77"/>
      <c r="I58" s="78"/>
      <c r="J58" s="79"/>
      <c r="K58" s="76"/>
      <c r="L58" s="76"/>
      <c r="M58" s="77"/>
      <c r="N58" s="78"/>
      <c r="O58" s="79"/>
      <c r="P58" s="76"/>
      <c r="Q58" s="76"/>
      <c r="R58" s="77"/>
      <c r="S58" s="78"/>
      <c r="T58" s="79"/>
      <c r="U58" s="76"/>
      <c r="V58" s="76"/>
      <c r="W58" s="77"/>
      <c r="X58" s="78"/>
      <c r="Y58" s="79"/>
      <c r="Z58" s="81"/>
      <c r="AA58" s="81"/>
      <c r="AB58" s="82"/>
      <c r="AC58" s="83"/>
      <c r="AD58" s="84"/>
    </row>
    <row r="59" spans="1:30" x14ac:dyDescent="0.25">
      <c r="A59" s="4" t="s">
        <v>34</v>
      </c>
      <c r="B59" s="176"/>
      <c r="C59" s="177">
        <v>228</v>
      </c>
      <c r="D59" s="2">
        <v>6.8810068816977698E-3</v>
      </c>
      <c r="E59" s="178">
        <v>8215.7924852789001</v>
      </c>
      <c r="F59" s="76"/>
      <c r="G59" s="76"/>
      <c r="H59" s="77"/>
      <c r="I59" s="78"/>
      <c r="J59" s="79"/>
      <c r="K59" s="76"/>
      <c r="L59" s="76"/>
      <c r="M59" s="77"/>
      <c r="N59" s="78"/>
      <c r="O59" s="79"/>
      <c r="P59" s="76"/>
      <c r="Q59" s="76"/>
      <c r="R59" s="77"/>
      <c r="S59" s="78"/>
      <c r="T59" s="79"/>
      <c r="U59" s="76"/>
      <c r="V59" s="76"/>
      <c r="W59" s="77"/>
      <c r="X59" s="78"/>
      <c r="Y59" s="79"/>
      <c r="Z59" s="81"/>
      <c r="AA59" s="81"/>
      <c r="AB59" s="82"/>
      <c r="AC59" s="85"/>
      <c r="AD59" s="84"/>
    </row>
    <row r="60" spans="1:30" x14ac:dyDescent="0.25">
      <c r="A60" s="4" t="s">
        <v>50</v>
      </c>
      <c r="B60" s="176"/>
      <c r="C60" s="177">
        <v>143</v>
      </c>
      <c r="D60" s="2">
        <v>1.74975672022545E-2</v>
      </c>
      <c r="E60" s="178">
        <v>18622.954794520501</v>
      </c>
      <c r="F60" s="76"/>
      <c r="G60" s="76"/>
      <c r="H60" s="77"/>
      <c r="I60" s="78"/>
      <c r="J60" s="79"/>
      <c r="K60" s="76"/>
      <c r="L60" s="76"/>
      <c r="M60" s="77"/>
      <c r="N60" s="78"/>
      <c r="O60" s="79"/>
      <c r="P60" s="76"/>
      <c r="Q60" s="76"/>
      <c r="R60" s="77"/>
      <c r="S60" s="78"/>
      <c r="T60" s="79"/>
      <c r="U60" s="76"/>
      <c r="V60" s="76"/>
      <c r="W60" s="77"/>
      <c r="X60" s="78"/>
      <c r="Y60" s="79"/>
      <c r="Z60" s="81"/>
      <c r="AA60" s="81"/>
      <c r="AB60" s="82"/>
      <c r="AC60" s="85"/>
      <c r="AD60" s="84"/>
    </row>
    <row r="61" spans="1:30" x14ac:dyDescent="0.25">
      <c r="A61" s="4" t="s">
        <v>19</v>
      </c>
      <c r="B61" s="176"/>
      <c r="C61" s="177">
        <v>168</v>
      </c>
      <c r="D61" s="2">
        <v>8.0043630597517006E-3</v>
      </c>
      <c r="E61" s="178">
        <v>20702.5157079452</v>
      </c>
      <c r="F61" s="76"/>
      <c r="G61" s="76"/>
      <c r="H61" s="77"/>
      <c r="I61" s="78"/>
      <c r="J61" s="79"/>
      <c r="K61" s="76"/>
      <c r="L61" s="76"/>
      <c r="M61" s="77"/>
      <c r="N61" s="78"/>
      <c r="O61" s="79"/>
      <c r="P61" s="76"/>
      <c r="Q61" s="76"/>
      <c r="R61" s="77"/>
      <c r="S61" s="78"/>
      <c r="T61" s="79"/>
      <c r="U61" s="76"/>
      <c r="V61" s="76"/>
      <c r="W61" s="77"/>
      <c r="X61" s="78"/>
      <c r="Y61" s="79"/>
      <c r="Z61" s="81"/>
      <c r="AA61" s="81"/>
      <c r="AB61" s="82"/>
      <c r="AC61" s="83"/>
      <c r="AD61" s="84"/>
    </row>
    <row r="62" spans="1:30" x14ac:dyDescent="0.25">
      <c r="A62" s="4" t="s">
        <v>51</v>
      </c>
      <c r="B62" s="176"/>
      <c r="C62" s="177">
        <v>18</v>
      </c>
      <c r="D62" s="2">
        <v>0</v>
      </c>
      <c r="E62" s="178">
        <v>0</v>
      </c>
      <c r="F62" s="76"/>
      <c r="G62" s="76"/>
      <c r="H62" s="77"/>
      <c r="I62" s="78"/>
      <c r="J62" s="79"/>
      <c r="K62" s="76"/>
      <c r="L62" s="76"/>
      <c r="M62" s="77"/>
      <c r="N62" s="78"/>
      <c r="O62" s="79"/>
      <c r="P62" s="76"/>
      <c r="Q62" s="76"/>
      <c r="R62" s="77"/>
      <c r="S62" s="78"/>
      <c r="T62" s="79"/>
      <c r="U62" s="76"/>
      <c r="V62" s="76"/>
      <c r="W62" s="77"/>
      <c r="X62" s="78"/>
      <c r="Y62" s="79"/>
      <c r="Z62" s="81"/>
      <c r="AA62" s="81"/>
      <c r="AB62" s="82"/>
      <c r="AC62" s="83"/>
      <c r="AD62" s="84"/>
    </row>
    <row r="63" spans="1:30" x14ac:dyDescent="0.25">
      <c r="A63" s="4" t="s">
        <v>35</v>
      </c>
      <c r="B63" s="176"/>
      <c r="C63" s="177">
        <v>246</v>
      </c>
      <c r="D63" s="2">
        <v>5.1460265711154802E-3</v>
      </c>
      <c r="E63" s="178">
        <v>8400.1886010958897</v>
      </c>
      <c r="F63" s="76"/>
      <c r="G63" s="76"/>
      <c r="H63" s="77"/>
      <c r="I63" s="78"/>
      <c r="J63" s="79"/>
      <c r="K63" s="76"/>
      <c r="L63" s="76"/>
      <c r="M63" s="77"/>
      <c r="N63" s="78"/>
      <c r="O63" s="79"/>
      <c r="P63" s="76"/>
      <c r="Q63" s="76"/>
      <c r="R63" s="77"/>
      <c r="S63" s="78"/>
      <c r="T63" s="79"/>
      <c r="U63" s="76"/>
      <c r="V63" s="76"/>
      <c r="W63" s="77"/>
      <c r="X63" s="78"/>
      <c r="Y63" s="79"/>
      <c r="Z63" s="81"/>
      <c r="AA63" s="81"/>
      <c r="AB63" s="82"/>
      <c r="AC63" s="83"/>
      <c r="AD63" s="84"/>
    </row>
    <row r="64" spans="1:30" x14ac:dyDescent="0.25">
      <c r="A64" s="4" t="s">
        <v>20</v>
      </c>
      <c r="B64" s="176"/>
      <c r="C64" s="177">
        <v>308</v>
      </c>
      <c r="D64" s="2">
        <v>5.9718768649484602E-3</v>
      </c>
      <c r="E64" s="178">
        <v>12095.423225205501</v>
      </c>
      <c r="F64" s="76"/>
      <c r="G64" s="76"/>
      <c r="H64" s="77"/>
      <c r="I64" s="78"/>
      <c r="J64" s="79"/>
      <c r="K64" s="76"/>
      <c r="L64" s="76"/>
      <c r="M64" s="77"/>
      <c r="N64" s="78"/>
      <c r="O64" s="79"/>
      <c r="P64" s="76"/>
      <c r="Q64" s="76"/>
      <c r="R64" s="77"/>
      <c r="S64" s="78"/>
      <c r="T64" s="79"/>
      <c r="U64" s="76"/>
      <c r="V64" s="76"/>
      <c r="W64" s="77"/>
      <c r="X64" s="78"/>
      <c r="Y64" s="79"/>
      <c r="Z64" s="81"/>
      <c r="AA64" s="81"/>
      <c r="AB64" s="82"/>
      <c r="AC64" s="83"/>
      <c r="AD64" s="84"/>
    </row>
    <row r="65" spans="1:30" x14ac:dyDescent="0.25">
      <c r="A65" s="4" t="s">
        <v>52</v>
      </c>
      <c r="B65" s="176"/>
      <c r="C65" s="177">
        <v>123</v>
      </c>
      <c r="D65" s="2">
        <v>3.9828349901772E-3</v>
      </c>
      <c r="E65" s="178">
        <v>9435.0034246575306</v>
      </c>
      <c r="F65" s="76"/>
      <c r="G65" s="76"/>
      <c r="H65" s="77"/>
      <c r="I65" s="78"/>
      <c r="J65" s="79"/>
      <c r="K65" s="76"/>
      <c r="L65" s="76"/>
      <c r="M65" s="77"/>
      <c r="N65" s="78"/>
      <c r="O65" s="79"/>
      <c r="P65" s="76"/>
      <c r="Q65" s="76"/>
      <c r="R65" s="77"/>
      <c r="S65" s="78"/>
      <c r="T65" s="79"/>
      <c r="U65" s="76"/>
      <c r="V65" s="76"/>
      <c r="W65" s="77"/>
      <c r="X65" s="78"/>
      <c r="Y65" s="79"/>
      <c r="Z65" s="81"/>
      <c r="AA65" s="81"/>
      <c r="AB65" s="82"/>
      <c r="AC65" s="83"/>
      <c r="AD65" s="84"/>
    </row>
    <row r="66" spans="1:30" x14ac:dyDescent="0.25">
      <c r="A66" s="4" t="s">
        <v>53</v>
      </c>
      <c r="B66" s="176"/>
      <c r="C66" s="177">
        <v>24</v>
      </c>
      <c r="D66" s="2">
        <v>7.9818018343002402E-3</v>
      </c>
      <c r="E66" s="178">
        <v>1641.2666652739699</v>
      </c>
      <c r="F66" s="76"/>
      <c r="G66" s="76"/>
      <c r="H66" s="77"/>
      <c r="I66" s="78"/>
      <c r="J66" s="79"/>
      <c r="K66" s="76"/>
      <c r="L66" s="76"/>
      <c r="M66" s="77"/>
      <c r="N66" s="78"/>
      <c r="O66" s="79"/>
      <c r="P66" s="76"/>
      <c r="Q66" s="76"/>
      <c r="R66" s="77"/>
      <c r="S66" s="78"/>
      <c r="T66" s="79"/>
      <c r="U66" s="76"/>
      <c r="V66" s="76"/>
      <c r="W66" s="77"/>
      <c r="X66" s="78"/>
      <c r="Y66" s="79"/>
      <c r="Z66" s="81"/>
      <c r="AA66" s="81"/>
      <c r="AB66" s="82"/>
      <c r="AC66" s="83"/>
      <c r="AD66" s="84"/>
    </row>
    <row r="67" spans="1:30" x14ac:dyDescent="0.25">
      <c r="A67" s="4" t="s">
        <v>9</v>
      </c>
      <c r="B67" s="176"/>
      <c r="C67" s="177">
        <v>338</v>
      </c>
      <c r="D67" s="2">
        <v>5.3057885435075702E-3</v>
      </c>
      <c r="E67" s="178">
        <v>5448.2546871232898</v>
      </c>
      <c r="F67" s="76"/>
      <c r="G67" s="76"/>
      <c r="H67" s="77"/>
      <c r="I67" s="78"/>
      <c r="J67" s="79"/>
      <c r="K67" s="76"/>
      <c r="L67" s="76"/>
      <c r="M67" s="77"/>
      <c r="N67" s="78"/>
      <c r="O67" s="79"/>
      <c r="P67" s="76"/>
      <c r="Q67" s="76"/>
      <c r="R67" s="77"/>
      <c r="S67" s="78"/>
      <c r="T67" s="79"/>
      <c r="U67" s="76"/>
      <c r="V67" s="76"/>
      <c r="W67" s="77"/>
      <c r="X67" s="78"/>
      <c r="Y67" s="79"/>
      <c r="Z67" s="81"/>
      <c r="AA67" s="81"/>
      <c r="AB67" s="82"/>
      <c r="AC67" s="83"/>
      <c r="AD67" s="84"/>
    </row>
    <row r="68" spans="1:30" x14ac:dyDescent="0.25">
      <c r="A68" s="4" t="s">
        <v>10</v>
      </c>
      <c r="B68" s="176"/>
      <c r="C68" s="177">
        <v>190</v>
      </c>
      <c r="D68" s="2">
        <v>8.8356863773203093E-3</v>
      </c>
      <c r="E68" s="178">
        <v>8798.5153932876692</v>
      </c>
      <c r="F68" s="76"/>
      <c r="G68" s="76"/>
      <c r="H68" s="77"/>
      <c r="I68" s="78"/>
      <c r="J68" s="79"/>
      <c r="K68" s="76"/>
      <c r="L68" s="76"/>
      <c r="M68" s="77"/>
      <c r="N68" s="78"/>
      <c r="O68" s="79"/>
      <c r="P68" s="76"/>
      <c r="Q68" s="76"/>
      <c r="R68" s="77"/>
      <c r="S68" s="78"/>
      <c r="T68" s="79"/>
      <c r="U68" s="76"/>
      <c r="V68" s="76"/>
      <c r="W68" s="77"/>
      <c r="X68" s="78"/>
      <c r="Y68" s="79"/>
      <c r="Z68" s="81"/>
      <c r="AA68" s="81"/>
      <c r="AB68" s="82"/>
      <c r="AC68" s="85"/>
      <c r="AD68" s="84"/>
    </row>
    <row r="69" spans="1:30" x14ac:dyDescent="0.25">
      <c r="A69" s="4" t="s">
        <v>54</v>
      </c>
      <c r="B69" s="176"/>
      <c r="C69" s="177">
        <v>107</v>
      </c>
      <c r="D69" s="2">
        <v>1.1859849917906701E-2</v>
      </c>
      <c r="E69" s="178">
        <v>4242.8382876712303</v>
      </c>
      <c r="F69" s="81"/>
      <c r="G69" s="81"/>
      <c r="H69" s="82"/>
      <c r="I69" s="83"/>
      <c r="J69" s="84"/>
      <c r="K69" s="81"/>
      <c r="L69" s="81"/>
      <c r="M69" s="82"/>
      <c r="N69" s="83"/>
      <c r="O69" s="84"/>
      <c r="P69" s="81"/>
      <c r="Q69" s="81"/>
      <c r="R69" s="82"/>
      <c r="S69" s="83"/>
      <c r="T69" s="84"/>
      <c r="U69" s="81"/>
      <c r="V69" s="81"/>
      <c r="W69" s="82"/>
      <c r="X69" s="83"/>
      <c r="Y69" s="84"/>
      <c r="Z69" s="81"/>
      <c r="AA69" s="81"/>
      <c r="AB69" s="82"/>
      <c r="AC69" s="83"/>
      <c r="AD69" s="84"/>
    </row>
    <row r="70" spans="1:30" x14ac:dyDescent="0.25">
      <c r="A70" s="4" t="s">
        <v>38</v>
      </c>
      <c r="B70" s="176"/>
      <c r="C70" s="177">
        <v>24</v>
      </c>
      <c r="D70" s="2">
        <v>0</v>
      </c>
      <c r="E70" s="178">
        <v>0</v>
      </c>
    </row>
    <row r="71" spans="1:30" x14ac:dyDescent="0.25">
      <c r="A71" s="4" t="s">
        <v>40</v>
      </c>
      <c r="B71" s="176"/>
      <c r="C71" s="177">
        <v>122</v>
      </c>
      <c r="D71" s="2">
        <v>7.9869003163288502E-3</v>
      </c>
      <c r="E71" s="178">
        <v>8746.7602739726008</v>
      </c>
    </row>
    <row r="72" spans="1:30" x14ac:dyDescent="0.25">
      <c r="A72" s="4" t="s">
        <v>21</v>
      </c>
      <c r="B72" s="176"/>
      <c r="C72" s="177">
        <v>1019</v>
      </c>
      <c r="D72" s="2">
        <v>1.6973927226638399E-2</v>
      </c>
      <c r="E72" s="178">
        <v>78150.597447250402</v>
      </c>
    </row>
    <row r="73" spans="1:30" x14ac:dyDescent="0.25">
      <c r="A73" s="4" t="s">
        <v>55</v>
      </c>
      <c r="B73" s="176"/>
      <c r="C73" s="177">
        <v>43</v>
      </c>
      <c r="D73" s="2">
        <v>1.81180702756298E-3</v>
      </c>
      <c r="E73" s="178">
        <v>449.72219178082202</v>
      </c>
    </row>
    <row r="74" spans="1:30" x14ac:dyDescent="0.25">
      <c r="A74" s="4" t="s">
        <v>56</v>
      </c>
      <c r="B74" s="176"/>
      <c r="C74" s="177">
        <v>629</v>
      </c>
      <c r="D74" s="2">
        <v>1.1420522766086001E-2</v>
      </c>
      <c r="E74" s="178">
        <v>47133.891080145797</v>
      </c>
    </row>
    <row r="75" spans="1:30" x14ac:dyDescent="0.25">
      <c r="A75" s="4" t="s">
        <v>11</v>
      </c>
      <c r="B75" s="176"/>
      <c r="C75" s="177">
        <v>370</v>
      </c>
      <c r="D75" s="2">
        <v>6.0980106486037402E-3</v>
      </c>
      <c r="E75" s="178">
        <v>19979.4783516438</v>
      </c>
    </row>
    <row r="76" spans="1:30" x14ac:dyDescent="0.25">
      <c r="A76" s="4" t="s">
        <v>36</v>
      </c>
      <c r="B76" s="176"/>
      <c r="C76" s="177">
        <v>279</v>
      </c>
      <c r="D76" s="2">
        <v>3.9678857137120799E-3</v>
      </c>
      <c r="E76" s="178">
        <v>7134.9468010274004</v>
      </c>
    </row>
    <row r="77" spans="1:30" ht="22.5" x14ac:dyDescent="0.25">
      <c r="A77" s="4" t="s">
        <v>57</v>
      </c>
      <c r="B77" s="176"/>
      <c r="C77" s="177">
        <v>311</v>
      </c>
      <c r="D77" s="2">
        <v>9.5221214351050593E-3</v>
      </c>
      <c r="E77" s="178">
        <v>21591.767278424701</v>
      </c>
    </row>
    <row r="78" spans="1:30" x14ac:dyDescent="0.25">
      <c r="A78" s="4" t="s">
        <v>60</v>
      </c>
      <c r="B78" s="176"/>
      <c r="C78" s="177">
        <v>30</v>
      </c>
      <c r="D78" s="2">
        <v>0</v>
      </c>
      <c r="E78" s="178">
        <v>0</v>
      </c>
    </row>
    <row r="79" spans="1:30" x14ac:dyDescent="0.25">
      <c r="A79" s="4" t="s">
        <v>496</v>
      </c>
      <c r="B79" s="176"/>
      <c r="C79" s="177">
        <v>1</v>
      </c>
      <c r="D79" s="2">
        <v>0</v>
      </c>
      <c r="E79" s="178">
        <v>0</v>
      </c>
    </row>
    <row r="80" spans="1:30" x14ac:dyDescent="0.25">
      <c r="A80" s="4" t="s">
        <v>58</v>
      </c>
      <c r="B80" s="176"/>
      <c r="C80" s="177">
        <v>79</v>
      </c>
      <c r="D80" s="2">
        <v>1.7237852861735399E-4</v>
      </c>
      <c r="E80" s="178">
        <v>79.373287671232902</v>
      </c>
    </row>
    <row r="81" spans="1:5" ht="22.5" x14ac:dyDescent="0.25">
      <c r="A81" s="4" t="s">
        <v>69</v>
      </c>
      <c r="B81" s="176"/>
      <c r="C81" s="177">
        <v>6</v>
      </c>
      <c r="D81" s="2">
        <v>0</v>
      </c>
      <c r="E81" s="178">
        <v>0</v>
      </c>
    </row>
    <row r="82" spans="1:5" x14ac:dyDescent="0.25">
      <c r="A82" s="438" t="s">
        <v>70</v>
      </c>
      <c r="B82" s="179"/>
      <c r="C82" s="180">
        <v>10964</v>
      </c>
      <c r="D82" s="3">
        <v>7.85599477605399E-3</v>
      </c>
      <c r="E82" s="181">
        <v>554044.50762608799</v>
      </c>
    </row>
  </sheetData>
  <mergeCells count="9">
    <mergeCell ref="AD7:AD8"/>
    <mergeCell ref="F7:J7"/>
    <mergeCell ref="K7:O7"/>
    <mergeCell ref="P7:T7"/>
    <mergeCell ref="U7:Y7"/>
    <mergeCell ref="Z7:Z8"/>
    <mergeCell ref="AA7:AA8"/>
    <mergeCell ref="AB7:AB8"/>
    <mergeCell ref="AC7:AC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92D050"/>
  </sheetPr>
  <dimension ref="A1:AD82"/>
  <sheetViews>
    <sheetView topLeftCell="A49" workbookViewId="0">
      <selection activeCell="A46" sqref="A46"/>
    </sheetView>
  </sheetViews>
  <sheetFormatPr defaultColWidth="9.140625" defaultRowHeight="15" x14ac:dyDescent="0.25"/>
  <cols>
    <col min="1" max="1" width="31.85546875" style="160" customWidth="1"/>
    <col min="2" max="2" width="1.7109375" style="160" customWidth="1"/>
    <col min="3" max="3" width="9.140625" style="160" customWidth="1"/>
    <col min="4" max="4" width="12.7109375" style="160" customWidth="1"/>
    <col min="5" max="5" width="12.42578125" style="160" customWidth="1"/>
    <col min="6" max="6" width="8" style="74" customWidth="1"/>
    <col min="7" max="7" width="8.85546875" style="74" customWidth="1"/>
    <col min="8" max="8" width="7.5703125" style="74" customWidth="1"/>
    <col min="9" max="9" width="10.5703125" style="74" customWidth="1"/>
    <col min="10" max="10" width="10.140625" style="74" customWidth="1"/>
    <col min="11" max="11" width="8" style="74" customWidth="1"/>
    <col min="12" max="12" width="8.85546875" style="74" customWidth="1"/>
    <col min="13" max="13" width="7.5703125" style="74" customWidth="1"/>
    <col min="14" max="14" width="10.5703125" style="74" customWidth="1"/>
    <col min="15" max="15" width="10.140625" style="74" customWidth="1"/>
    <col min="16" max="16" width="8" style="74" customWidth="1"/>
    <col min="17" max="17" width="8.85546875" style="74" customWidth="1"/>
    <col min="18" max="18" width="7.5703125" style="74" customWidth="1"/>
    <col min="19" max="19" width="10.5703125" style="74" customWidth="1"/>
    <col min="20" max="20" width="10.140625" style="74" customWidth="1"/>
    <col min="21" max="21" width="8" style="74" customWidth="1"/>
    <col min="22" max="22" width="8.85546875" style="74" customWidth="1"/>
    <col min="23" max="23" width="7.5703125" style="74" customWidth="1"/>
    <col min="24" max="24" width="10.5703125" style="74" customWidth="1"/>
    <col min="25" max="25" width="10.140625" style="74" customWidth="1"/>
    <col min="26" max="26" width="8.85546875" style="74" customWidth="1"/>
    <col min="27" max="27" width="10.140625" style="74" customWidth="1"/>
    <col min="28" max="28" width="7.5703125" style="74" customWidth="1"/>
    <col min="29" max="29" width="10.5703125" style="74" customWidth="1"/>
    <col min="30" max="30" width="11.140625" style="74" customWidth="1"/>
    <col min="31" max="31" width="0.7109375" style="74" customWidth="1"/>
    <col min="32" max="16384" width="9.140625" style="74"/>
  </cols>
  <sheetData>
    <row r="1" spans="1:30" x14ac:dyDescent="0.25">
      <c r="A1" s="1" t="s">
        <v>424</v>
      </c>
    </row>
    <row r="2" spans="1:30" x14ac:dyDescent="0.25">
      <c r="A2" s="161" t="s">
        <v>0</v>
      </c>
    </row>
    <row r="3" spans="1:30" x14ac:dyDescent="0.25">
      <c r="A3" s="182" t="s">
        <v>74</v>
      </c>
      <c r="B3" s="165"/>
      <c r="C3" s="182" t="s">
        <v>290</v>
      </c>
      <c r="D3" s="182" t="s">
        <v>1</v>
      </c>
      <c r="E3" s="175" t="s">
        <v>291</v>
      </c>
    </row>
    <row r="4" spans="1:30" x14ac:dyDescent="0.25">
      <c r="A4" s="4" t="s">
        <v>2</v>
      </c>
      <c r="B4" s="176"/>
      <c r="C4" s="177">
        <v>44</v>
      </c>
      <c r="D4" s="2">
        <v>5.3236264361278603E-2</v>
      </c>
      <c r="E4" s="178">
        <v>17191.0105191781</v>
      </c>
    </row>
    <row r="5" spans="1:30" x14ac:dyDescent="0.25">
      <c r="A5" s="4" t="s">
        <v>4</v>
      </c>
      <c r="B5" s="176"/>
      <c r="C5" s="177">
        <v>4</v>
      </c>
      <c r="D5" s="2">
        <v>5.1150895140665001E-3</v>
      </c>
      <c r="E5" s="178">
        <v>144.01095890411</v>
      </c>
    </row>
    <row r="6" spans="1:30" x14ac:dyDescent="0.25">
      <c r="A6" s="4" t="s">
        <v>6</v>
      </c>
      <c r="B6" s="176"/>
      <c r="C6" s="177">
        <v>1575</v>
      </c>
      <c r="D6" s="2">
        <v>5.4300819678475401E-2</v>
      </c>
      <c r="E6" s="178">
        <v>647019.45414645097</v>
      </c>
    </row>
    <row r="7" spans="1:30" x14ac:dyDescent="0.25">
      <c r="A7" s="4" t="s">
        <v>12</v>
      </c>
      <c r="B7" s="176"/>
      <c r="C7" s="177">
        <v>2277</v>
      </c>
      <c r="D7" s="2">
        <v>6.3018053545653999E-2</v>
      </c>
      <c r="E7" s="178">
        <v>854530.56250194297</v>
      </c>
      <c r="F7" s="80"/>
      <c r="G7" s="80"/>
      <c r="H7" s="80"/>
      <c r="I7" s="80"/>
      <c r="J7" s="80"/>
      <c r="K7" s="80"/>
      <c r="L7" s="80"/>
      <c r="M7" s="80"/>
      <c r="N7" s="80"/>
      <c r="O7" s="80"/>
      <c r="P7" s="80"/>
      <c r="Q7" s="80"/>
      <c r="R7" s="80"/>
      <c r="S7" s="80"/>
      <c r="T7" s="80"/>
      <c r="U7" s="80"/>
      <c r="V7" s="80"/>
      <c r="W7" s="80"/>
      <c r="X7" s="80"/>
      <c r="Y7" s="80"/>
      <c r="Z7" s="80"/>
      <c r="AA7" s="80"/>
      <c r="AB7" s="80"/>
      <c r="AC7" s="80"/>
      <c r="AD7" s="80"/>
    </row>
    <row r="8" spans="1:30" x14ac:dyDescent="0.25">
      <c r="A8" s="4" t="s">
        <v>280</v>
      </c>
      <c r="B8" s="176"/>
      <c r="C8" s="177">
        <v>7</v>
      </c>
      <c r="D8" s="2">
        <v>0</v>
      </c>
      <c r="E8" s="178">
        <v>0</v>
      </c>
      <c r="F8" s="75"/>
      <c r="G8" s="75"/>
      <c r="H8" s="75"/>
      <c r="I8" s="75"/>
      <c r="J8" s="75"/>
      <c r="K8" s="75"/>
      <c r="L8" s="75"/>
      <c r="M8" s="75"/>
      <c r="N8" s="75"/>
      <c r="O8" s="75"/>
      <c r="P8" s="75"/>
      <c r="Q8" s="75"/>
      <c r="R8" s="75"/>
      <c r="S8" s="75"/>
      <c r="T8" s="75"/>
      <c r="U8" s="75"/>
      <c r="V8" s="75"/>
      <c r="W8" s="75"/>
      <c r="X8" s="75"/>
      <c r="Y8" s="75"/>
      <c r="Z8" s="80"/>
      <c r="AA8" s="80"/>
      <c r="AB8" s="80"/>
      <c r="AC8" s="80"/>
      <c r="AD8" s="80"/>
    </row>
    <row r="9" spans="1:30" x14ac:dyDescent="0.25">
      <c r="A9" s="4" t="s">
        <v>292</v>
      </c>
      <c r="B9" s="176"/>
      <c r="C9" s="177">
        <v>13</v>
      </c>
      <c r="D9" s="2">
        <v>9.5273678311227294E-2</v>
      </c>
      <c r="E9" s="178">
        <v>7576.5068493150702</v>
      </c>
      <c r="F9" s="76"/>
      <c r="G9" s="76"/>
      <c r="H9" s="77"/>
      <c r="I9" s="78"/>
      <c r="J9" s="79"/>
      <c r="K9" s="76"/>
      <c r="L9" s="76"/>
      <c r="M9" s="77"/>
      <c r="N9" s="78"/>
      <c r="O9" s="79"/>
      <c r="P9" s="76"/>
      <c r="Q9" s="76"/>
      <c r="R9" s="77"/>
      <c r="S9" s="78"/>
      <c r="T9" s="79"/>
      <c r="U9" s="76"/>
      <c r="V9" s="76"/>
      <c r="W9" s="77"/>
      <c r="X9" s="78"/>
      <c r="Y9" s="79"/>
      <c r="Z9" s="81"/>
      <c r="AA9" s="81"/>
      <c r="AB9" s="82"/>
      <c r="AC9" s="83"/>
      <c r="AD9" s="84"/>
    </row>
    <row r="10" spans="1:30" x14ac:dyDescent="0.25">
      <c r="A10" s="4" t="s">
        <v>22</v>
      </c>
      <c r="B10" s="176"/>
      <c r="C10" s="177">
        <v>2939</v>
      </c>
      <c r="D10" s="2">
        <v>6.6410183852465998E-2</v>
      </c>
      <c r="E10" s="178">
        <v>1417348.4051589</v>
      </c>
      <c r="F10" s="76"/>
      <c r="G10" s="76"/>
      <c r="H10" s="77"/>
      <c r="I10" s="78"/>
      <c r="J10" s="79"/>
      <c r="K10" s="76"/>
      <c r="L10" s="76"/>
      <c r="M10" s="77"/>
      <c r="N10" s="78"/>
      <c r="O10" s="79"/>
      <c r="P10" s="76"/>
      <c r="Q10" s="76"/>
      <c r="R10" s="77"/>
      <c r="S10" s="78"/>
      <c r="T10" s="79"/>
      <c r="U10" s="76"/>
      <c r="V10" s="76"/>
      <c r="W10" s="77"/>
      <c r="X10" s="78"/>
      <c r="Y10" s="79"/>
      <c r="Z10" s="81"/>
      <c r="AA10" s="81"/>
      <c r="AB10" s="82"/>
      <c r="AC10" s="83"/>
      <c r="AD10" s="84"/>
    </row>
    <row r="11" spans="1:30" x14ac:dyDescent="0.25">
      <c r="A11" s="4" t="s">
        <v>37</v>
      </c>
      <c r="B11" s="176"/>
      <c r="C11" s="177">
        <v>24</v>
      </c>
      <c r="D11" s="2">
        <v>8.64995692365641E-2</v>
      </c>
      <c r="E11" s="178">
        <v>13109.0691780822</v>
      </c>
      <c r="F11" s="76"/>
      <c r="G11" s="76"/>
      <c r="H11" s="77"/>
      <c r="I11" s="78"/>
      <c r="J11" s="79"/>
      <c r="K11" s="76"/>
      <c r="L11" s="76"/>
      <c r="M11" s="77"/>
      <c r="N11" s="78"/>
      <c r="O11" s="79"/>
      <c r="P11" s="76"/>
      <c r="Q11" s="76"/>
      <c r="R11" s="77"/>
      <c r="S11" s="78"/>
      <c r="T11" s="79"/>
      <c r="U11" s="76"/>
      <c r="V11" s="76"/>
      <c r="W11" s="77"/>
      <c r="X11" s="78"/>
      <c r="Y11" s="79"/>
      <c r="Z11" s="81"/>
      <c r="AA11" s="81"/>
      <c r="AB11" s="82"/>
      <c r="AC11" s="83"/>
      <c r="AD11" s="84"/>
    </row>
    <row r="12" spans="1:30" x14ac:dyDescent="0.25">
      <c r="A12" s="4" t="s">
        <v>39</v>
      </c>
      <c r="B12" s="176"/>
      <c r="C12" s="177">
        <v>122</v>
      </c>
      <c r="D12" s="2">
        <v>6.4620173472344E-2</v>
      </c>
      <c r="E12" s="178">
        <v>63776.322154041103</v>
      </c>
      <c r="F12" s="76"/>
      <c r="G12" s="76"/>
      <c r="H12" s="77"/>
      <c r="I12" s="78"/>
      <c r="J12" s="79"/>
      <c r="K12" s="76"/>
      <c r="L12" s="76"/>
      <c r="M12" s="77"/>
      <c r="N12" s="78"/>
      <c r="O12" s="79"/>
      <c r="P12" s="76"/>
      <c r="Q12" s="76"/>
      <c r="R12" s="77"/>
      <c r="S12" s="78"/>
      <c r="T12" s="79"/>
      <c r="U12" s="76"/>
      <c r="V12" s="76"/>
      <c r="W12" s="77"/>
      <c r="X12" s="78"/>
      <c r="Y12" s="79"/>
      <c r="Z12" s="81"/>
      <c r="AA12" s="81"/>
      <c r="AB12" s="82"/>
      <c r="AC12" s="83"/>
      <c r="AD12" s="84"/>
    </row>
    <row r="13" spans="1:30" x14ac:dyDescent="0.25">
      <c r="A13" s="4" t="s">
        <v>41</v>
      </c>
      <c r="B13" s="176"/>
      <c r="C13" s="177">
        <v>2829</v>
      </c>
      <c r="D13" s="2">
        <v>6.4591842913444705E-2</v>
      </c>
      <c r="E13" s="178">
        <v>1472405.4216062101</v>
      </c>
      <c r="F13" s="76"/>
      <c r="G13" s="76"/>
      <c r="H13" s="77"/>
      <c r="I13" s="78"/>
      <c r="J13" s="79"/>
      <c r="K13" s="76"/>
      <c r="L13" s="76"/>
      <c r="M13" s="77"/>
      <c r="N13" s="78"/>
      <c r="O13" s="79"/>
      <c r="P13" s="76"/>
      <c r="Q13" s="76"/>
      <c r="R13" s="77"/>
      <c r="S13" s="78"/>
      <c r="T13" s="79"/>
      <c r="U13" s="76"/>
      <c r="V13" s="76"/>
      <c r="W13" s="77"/>
      <c r="X13" s="78"/>
      <c r="Y13" s="79"/>
      <c r="Z13" s="81"/>
      <c r="AA13" s="81"/>
      <c r="AB13" s="82"/>
      <c r="AC13" s="83"/>
      <c r="AD13" s="84"/>
    </row>
    <row r="14" spans="1:30" x14ac:dyDescent="0.25">
      <c r="A14" s="4" t="s">
        <v>59</v>
      </c>
      <c r="B14" s="176"/>
      <c r="C14" s="177">
        <v>30</v>
      </c>
      <c r="D14" s="2">
        <v>3.25717439503821E-2</v>
      </c>
      <c r="E14" s="178">
        <v>5610.4136598964396</v>
      </c>
      <c r="F14" s="76"/>
      <c r="G14" s="76"/>
      <c r="H14" s="77"/>
      <c r="I14" s="78"/>
      <c r="J14" s="79"/>
      <c r="K14" s="76"/>
      <c r="L14" s="76"/>
      <c r="M14" s="77"/>
      <c r="N14" s="78"/>
      <c r="O14" s="79"/>
      <c r="P14" s="76"/>
      <c r="Q14" s="76"/>
      <c r="R14" s="77"/>
      <c r="S14" s="78"/>
      <c r="T14" s="79"/>
      <c r="U14" s="76"/>
      <c r="V14" s="76"/>
      <c r="W14" s="77"/>
      <c r="X14" s="78"/>
      <c r="Y14" s="79"/>
      <c r="Z14" s="81"/>
      <c r="AA14" s="81"/>
      <c r="AB14" s="82"/>
      <c r="AC14" s="83"/>
      <c r="AD14" s="84"/>
    </row>
    <row r="15" spans="1:30" x14ac:dyDescent="0.25">
      <c r="A15" s="4" t="s">
        <v>496</v>
      </c>
      <c r="B15" s="176"/>
      <c r="C15" s="177">
        <v>1</v>
      </c>
      <c r="D15" s="2">
        <v>0</v>
      </c>
      <c r="E15" s="178">
        <v>0</v>
      </c>
      <c r="F15" s="76"/>
      <c r="G15" s="76"/>
      <c r="H15" s="77"/>
      <c r="I15" s="78"/>
      <c r="J15" s="79"/>
      <c r="K15" s="76"/>
      <c r="L15" s="76"/>
      <c r="M15" s="77"/>
      <c r="N15" s="78"/>
      <c r="O15" s="79"/>
      <c r="P15" s="76"/>
      <c r="Q15" s="76"/>
      <c r="R15" s="77"/>
      <c r="S15" s="78"/>
      <c r="T15" s="79"/>
      <c r="U15" s="76"/>
      <c r="V15" s="76"/>
      <c r="W15" s="77"/>
      <c r="X15" s="78"/>
      <c r="Y15" s="79"/>
      <c r="Z15" s="81"/>
      <c r="AA15" s="81"/>
      <c r="AB15" s="82"/>
      <c r="AC15" s="83"/>
      <c r="AD15" s="84"/>
    </row>
    <row r="16" spans="1:30" x14ac:dyDescent="0.25">
      <c r="A16" s="4" t="s">
        <v>61</v>
      </c>
      <c r="B16" s="176"/>
      <c r="C16" s="177">
        <v>944</v>
      </c>
      <c r="D16" s="2">
        <v>6.0147999705398802E-2</v>
      </c>
      <c r="E16" s="178">
        <v>460103.06889060198</v>
      </c>
      <c r="F16" s="76"/>
      <c r="G16" s="76"/>
      <c r="H16" s="77"/>
      <c r="I16" s="78"/>
      <c r="J16" s="79"/>
      <c r="K16" s="76"/>
      <c r="L16" s="76"/>
      <c r="M16" s="77"/>
      <c r="N16" s="78"/>
      <c r="O16" s="79"/>
      <c r="P16" s="76"/>
      <c r="Q16" s="76"/>
      <c r="R16" s="77"/>
      <c r="S16" s="78"/>
      <c r="T16" s="79"/>
      <c r="U16" s="76"/>
      <c r="V16" s="76"/>
      <c r="W16" s="77"/>
      <c r="X16" s="78"/>
      <c r="Y16" s="79"/>
      <c r="Z16" s="81"/>
      <c r="AA16" s="81"/>
      <c r="AB16" s="82"/>
      <c r="AC16" s="83"/>
      <c r="AD16" s="84"/>
    </row>
    <row r="17" spans="1:30" x14ac:dyDescent="0.25">
      <c r="A17" s="438" t="s">
        <v>70</v>
      </c>
      <c r="B17" s="179"/>
      <c r="C17" s="180">
        <v>10809</v>
      </c>
      <c r="D17" s="3">
        <v>6.2754345286541405E-2</v>
      </c>
      <c r="E17" s="181">
        <v>4958814.2456235196</v>
      </c>
      <c r="F17" s="76"/>
      <c r="G17" s="76"/>
      <c r="H17" s="77"/>
      <c r="I17" s="78"/>
      <c r="J17" s="79"/>
      <c r="K17" s="76"/>
      <c r="L17" s="76"/>
      <c r="M17" s="77"/>
      <c r="N17" s="78"/>
      <c r="O17" s="79"/>
      <c r="P17" s="76"/>
      <c r="Q17" s="76"/>
      <c r="R17" s="77"/>
      <c r="S17" s="78"/>
      <c r="T17" s="79"/>
      <c r="U17" s="76"/>
      <c r="V17" s="76"/>
      <c r="W17" s="77"/>
      <c r="X17" s="78"/>
      <c r="Y17" s="79"/>
      <c r="Z17" s="81"/>
      <c r="AA17" s="81"/>
      <c r="AB17" s="82"/>
      <c r="AC17" s="83"/>
      <c r="AD17" s="84"/>
    </row>
    <row r="18" spans="1:30" x14ac:dyDescent="0.25">
      <c r="F18" s="76"/>
      <c r="G18" s="76"/>
      <c r="H18" s="77"/>
      <c r="I18" s="78"/>
      <c r="J18" s="79"/>
      <c r="K18" s="76"/>
      <c r="L18" s="76"/>
      <c r="M18" s="77"/>
      <c r="N18" s="78"/>
      <c r="O18" s="79"/>
      <c r="P18" s="76"/>
      <c r="Q18" s="76"/>
      <c r="R18" s="77"/>
      <c r="S18" s="78"/>
      <c r="T18" s="79"/>
      <c r="U18" s="76"/>
      <c r="V18" s="76"/>
      <c r="W18" s="77"/>
      <c r="X18" s="78"/>
      <c r="Y18" s="79"/>
      <c r="Z18" s="81"/>
      <c r="AA18" s="81"/>
      <c r="AB18" s="82"/>
      <c r="AC18" s="83"/>
      <c r="AD18" s="84"/>
    </row>
    <row r="19" spans="1:30" x14ac:dyDescent="0.25">
      <c r="A19" s="182" t="s">
        <v>73</v>
      </c>
      <c r="B19" s="165"/>
      <c r="C19" s="182" t="s">
        <v>290</v>
      </c>
      <c r="D19" s="182" t="s">
        <v>1</v>
      </c>
      <c r="E19" s="175" t="s">
        <v>291</v>
      </c>
      <c r="F19" s="76"/>
      <c r="G19" s="76"/>
      <c r="H19" s="77"/>
      <c r="I19" s="78"/>
      <c r="J19" s="79"/>
      <c r="K19" s="76"/>
      <c r="L19" s="76"/>
      <c r="M19" s="77"/>
      <c r="N19" s="78"/>
      <c r="O19" s="79"/>
      <c r="P19" s="76"/>
      <c r="Q19" s="76"/>
      <c r="R19" s="77"/>
      <c r="S19" s="78"/>
      <c r="T19" s="79"/>
      <c r="U19" s="76"/>
      <c r="V19" s="76"/>
      <c r="W19" s="77"/>
      <c r="X19" s="78"/>
      <c r="Y19" s="79"/>
      <c r="Z19" s="81"/>
      <c r="AA19" s="81"/>
      <c r="AB19" s="82"/>
      <c r="AC19" s="83"/>
      <c r="AD19" s="84"/>
    </row>
    <row r="20" spans="1:30" x14ac:dyDescent="0.25">
      <c r="A20" s="4" t="s">
        <v>23</v>
      </c>
      <c r="B20" s="176"/>
      <c r="C20" s="177">
        <v>321</v>
      </c>
      <c r="D20" s="2">
        <v>6.2782543985315298E-2</v>
      </c>
      <c r="E20" s="178">
        <v>129303.496243368</v>
      </c>
      <c r="F20" s="76"/>
      <c r="G20" s="76"/>
      <c r="H20" s="77"/>
      <c r="I20" s="78"/>
      <c r="J20" s="79"/>
      <c r="K20" s="76"/>
      <c r="L20" s="76"/>
      <c r="M20" s="77"/>
      <c r="N20" s="78"/>
      <c r="O20" s="79"/>
      <c r="P20" s="76"/>
      <c r="Q20" s="76"/>
      <c r="R20" s="77"/>
      <c r="S20" s="78"/>
      <c r="T20" s="79"/>
      <c r="U20" s="76"/>
      <c r="V20" s="76"/>
      <c r="W20" s="77"/>
      <c r="X20" s="78"/>
      <c r="Y20" s="79"/>
      <c r="Z20" s="81"/>
      <c r="AA20" s="81"/>
      <c r="AB20" s="82"/>
      <c r="AC20" s="83"/>
      <c r="AD20" s="84"/>
    </row>
    <row r="21" spans="1:30" x14ac:dyDescent="0.25">
      <c r="A21" s="4" t="s">
        <v>62</v>
      </c>
      <c r="B21" s="176"/>
      <c r="C21" s="177">
        <v>203</v>
      </c>
      <c r="D21" s="2">
        <v>5.0456292340361697E-2</v>
      </c>
      <c r="E21" s="178">
        <v>73119.053642353407</v>
      </c>
      <c r="F21" s="76"/>
      <c r="G21" s="76"/>
      <c r="H21" s="77"/>
      <c r="I21" s="78"/>
      <c r="J21" s="79"/>
      <c r="K21" s="76"/>
      <c r="L21" s="76"/>
      <c r="M21" s="77"/>
      <c r="N21" s="78"/>
      <c r="O21" s="79"/>
      <c r="P21" s="76"/>
      <c r="Q21" s="76"/>
      <c r="R21" s="77"/>
      <c r="S21" s="78"/>
      <c r="T21" s="79"/>
      <c r="U21" s="76"/>
      <c r="V21" s="76"/>
      <c r="W21" s="77"/>
      <c r="X21" s="78"/>
      <c r="Y21" s="79"/>
      <c r="Z21" s="81"/>
      <c r="AA21" s="81"/>
      <c r="AB21" s="82"/>
      <c r="AC21" s="83"/>
      <c r="AD21" s="84"/>
    </row>
    <row r="22" spans="1:30" x14ac:dyDescent="0.25">
      <c r="A22" s="4" t="s">
        <v>42</v>
      </c>
      <c r="B22" s="176"/>
      <c r="C22" s="177">
        <v>165</v>
      </c>
      <c r="D22" s="2">
        <v>3.3809293678367498E-2</v>
      </c>
      <c r="E22" s="178">
        <v>129597.69426599301</v>
      </c>
      <c r="F22" s="76"/>
      <c r="G22" s="76"/>
      <c r="H22" s="77"/>
      <c r="I22" s="78"/>
      <c r="J22" s="79"/>
      <c r="K22" s="76"/>
      <c r="L22" s="76"/>
      <c r="M22" s="77"/>
      <c r="N22" s="78"/>
      <c r="O22" s="79"/>
      <c r="P22" s="76"/>
      <c r="Q22" s="76"/>
      <c r="R22" s="77"/>
      <c r="S22" s="78"/>
      <c r="T22" s="79"/>
      <c r="U22" s="76"/>
      <c r="V22" s="76"/>
      <c r="W22" s="77"/>
      <c r="X22" s="78"/>
      <c r="Y22" s="79"/>
      <c r="Z22" s="81"/>
      <c r="AA22" s="81"/>
      <c r="AB22" s="82"/>
      <c r="AC22" s="83"/>
      <c r="AD22" s="84"/>
    </row>
    <row r="23" spans="1:30" x14ac:dyDescent="0.25">
      <c r="A23" s="4" t="s">
        <v>63</v>
      </c>
      <c r="B23" s="176"/>
      <c r="C23" s="177">
        <v>48</v>
      </c>
      <c r="D23" s="2">
        <v>7.7075354958386494E-2</v>
      </c>
      <c r="E23" s="178">
        <v>32337.957339862998</v>
      </c>
      <c r="F23" s="76"/>
      <c r="G23" s="76"/>
      <c r="H23" s="77"/>
      <c r="I23" s="78"/>
      <c r="J23" s="79"/>
      <c r="K23" s="76"/>
      <c r="L23" s="76"/>
      <c r="M23" s="77"/>
      <c r="N23" s="78"/>
      <c r="O23" s="79"/>
      <c r="P23" s="76"/>
      <c r="Q23" s="76"/>
      <c r="R23" s="77"/>
      <c r="S23" s="78"/>
      <c r="T23" s="79"/>
      <c r="U23" s="76"/>
      <c r="V23" s="76"/>
      <c r="W23" s="77"/>
      <c r="X23" s="78"/>
      <c r="Y23" s="79"/>
      <c r="Z23" s="81"/>
      <c r="AA23" s="81"/>
      <c r="AB23" s="82"/>
      <c r="AC23" s="83"/>
      <c r="AD23" s="84"/>
    </row>
    <row r="24" spans="1:30" x14ac:dyDescent="0.25">
      <c r="A24" s="4" t="s">
        <v>13</v>
      </c>
      <c r="B24" s="176"/>
      <c r="C24" s="177">
        <v>73</v>
      </c>
      <c r="D24" s="2">
        <v>2.3038178845482302E-2</v>
      </c>
      <c r="E24" s="178">
        <v>16845.9919433904</v>
      </c>
      <c r="F24" s="76"/>
      <c r="G24" s="76"/>
      <c r="H24" s="77"/>
      <c r="I24" s="78"/>
      <c r="J24" s="79"/>
      <c r="K24" s="76"/>
      <c r="L24" s="76"/>
      <c r="M24" s="77"/>
      <c r="N24" s="78"/>
      <c r="O24" s="79"/>
      <c r="P24" s="76"/>
      <c r="Q24" s="76"/>
      <c r="R24" s="77"/>
      <c r="S24" s="78"/>
      <c r="T24" s="79"/>
      <c r="U24" s="76"/>
      <c r="V24" s="76"/>
      <c r="W24" s="77"/>
      <c r="X24" s="78"/>
      <c r="Y24" s="79"/>
      <c r="Z24" s="81"/>
      <c r="AA24" s="81"/>
      <c r="AB24" s="82"/>
      <c r="AC24" s="83"/>
      <c r="AD24" s="84"/>
    </row>
    <row r="25" spans="1:30" x14ac:dyDescent="0.25">
      <c r="A25" s="4" t="s">
        <v>3</v>
      </c>
      <c r="B25" s="176"/>
      <c r="C25" s="177">
        <v>44</v>
      </c>
      <c r="D25" s="2">
        <v>5.3236264361278603E-2</v>
      </c>
      <c r="E25" s="178">
        <v>17191.0105191781</v>
      </c>
      <c r="F25" s="76"/>
      <c r="G25" s="76"/>
      <c r="H25" s="77"/>
      <c r="I25" s="78"/>
      <c r="J25" s="79"/>
      <c r="K25" s="76"/>
      <c r="L25" s="76"/>
      <c r="M25" s="77"/>
      <c r="N25" s="78"/>
      <c r="O25" s="79"/>
      <c r="P25" s="76"/>
      <c r="Q25" s="76"/>
      <c r="R25" s="77"/>
      <c r="S25" s="78"/>
      <c r="T25" s="79"/>
      <c r="U25" s="76"/>
      <c r="V25" s="76"/>
      <c r="W25" s="77"/>
      <c r="X25" s="78"/>
      <c r="Y25" s="79"/>
      <c r="Z25" s="81"/>
      <c r="AA25" s="81"/>
      <c r="AB25" s="82"/>
      <c r="AC25" s="83"/>
      <c r="AD25" s="84"/>
    </row>
    <row r="26" spans="1:30" x14ac:dyDescent="0.25">
      <c r="A26" s="4" t="s">
        <v>24</v>
      </c>
      <c r="B26" s="176"/>
      <c r="C26" s="177">
        <v>255</v>
      </c>
      <c r="D26" s="2">
        <v>6.5709566164938699E-2</v>
      </c>
      <c r="E26" s="178">
        <v>107700.663626604</v>
      </c>
      <c r="F26" s="76"/>
      <c r="G26" s="76"/>
      <c r="H26" s="77"/>
      <c r="I26" s="78"/>
      <c r="J26" s="79"/>
      <c r="K26" s="76"/>
      <c r="L26" s="76"/>
      <c r="M26" s="77"/>
      <c r="N26" s="78"/>
      <c r="O26" s="79"/>
      <c r="P26" s="76"/>
      <c r="Q26" s="76"/>
      <c r="R26" s="77"/>
      <c r="S26" s="78"/>
      <c r="T26" s="79"/>
      <c r="U26" s="76"/>
      <c r="V26" s="76"/>
      <c r="W26" s="77"/>
      <c r="X26" s="78"/>
      <c r="Y26" s="79"/>
      <c r="Z26" s="81"/>
      <c r="AA26" s="81"/>
      <c r="AB26" s="82"/>
      <c r="AC26" s="83"/>
      <c r="AD26" s="84"/>
    </row>
    <row r="27" spans="1:30" ht="22.5" x14ac:dyDescent="0.25">
      <c r="A27" s="4" t="s">
        <v>43</v>
      </c>
      <c r="B27" s="176"/>
      <c r="C27" s="177">
        <v>369</v>
      </c>
      <c r="D27" s="2">
        <v>6.5066044078261803E-2</v>
      </c>
      <c r="E27" s="178">
        <v>216518.87283082199</v>
      </c>
      <c r="F27" s="76"/>
      <c r="G27" s="76"/>
      <c r="H27" s="77"/>
      <c r="I27" s="78"/>
      <c r="J27" s="79"/>
      <c r="K27" s="76"/>
      <c r="L27" s="76"/>
      <c r="M27" s="77"/>
      <c r="N27" s="78"/>
      <c r="O27" s="79"/>
      <c r="P27" s="76"/>
      <c r="Q27" s="76"/>
      <c r="R27" s="77"/>
      <c r="S27" s="78"/>
      <c r="T27" s="79"/>
      <c r="U27" s="76"/>
      <c r="V27" s="76"/>
      <c r="W27" s="77"/>
      <c r="X27" s="78"/>
      <c r="Y27" s="79"/>
      <c r="Z27" s="81"/>
      <c r="AA27" s="81"/>
      <c r="AB27" s="82"/>
      <c r="AC27" s="83"/>
      <c r="AD27" s="84"/>
    </row>
    <row r="28" spans="1:30" x14ac:dyDescent="0.25">
      <c r="A28" s="4" t="s">
        <v>5</v>
      </c>
      <c r="B28" s="176"/>
      <c r="C28" s="177">
        <v>4</v>
      </c>
      <c r="D28" s="2">
        <v>5.1150895140665001E-3</v>
      </c>
      <c r="E28" s="178">
        <v>144.01095890411</v>
      </c>
      <c r="F28" s="76"/>
      <c r="G28" s="76"/>
      <c r="H28" s="77"/>
      <c r="I28" s="78"/>
      <c r="J28" s="79"/>
      <c r="K28" s="76"/>
      <c r="L28" s="76"/>
      <c r="M28" s="77"/>
      <c r="N28" s="78"/>
      <c r="O28" s="79"/>
      <c r="P28" s="76"/>
      <c r="Q28" s="76"/>
      <c r="R28" s="77"/>
      <c r="S28" s="78"/>
      <c r="T28" s="79"/>
      <c r="U28" s="76"/>
      <c r="V28" s="76"/>
      <c r="W28" s="77"/>
      <c r="X28" s="78"/>
      <c r="Y28" s="79"/>
      <c r="Z28" s="81"/>
      <c r="AA28" s="81"/>
      <c r="AB28" s="82"/>
      <c r="AC28" s="83"/>
      <c r="AD28" s="84"/>
    </row>
    <row r="29" spans="1:30" x14ac:dyDescent="0.25">
      <c r="A29" s="4" t="s">
        <v>14</v>
      </c>
      <c r="B29" s="176"/>
      <c r="C29" s="177">
        <v>30</v>
      </c>
      <c r="D29" s="2">
        <v>2.3131325729048101E-2</v>
      </c>
      <c r="E29" s="178">
        <v>7304.9033580197301</v>
      </c>
      <c r="F29" s="76"/>
      <c r="G29" s="76"/>
      <c r="H29" s="77"/>
      <c r="I29" s="78"/>
      <c r="J29" s="79"/>
      <c r="K29" s="76"/>
      <c r="L29" s="76"/>
      <c r="M29" s="77"/>
      <c r="N29" s="78"/>
      <c r="O29" s="79"/>
      <c r="P29" s="76"/>
      <c r="Q29" s="76"/>
      <c r="R29" s="77"/>
      <c r="S29" s="78"/>
      <c r="T29" s="79"/>
      <c r="U29" s="76"/>
      <c r="V29" s="76"/>
      <c r="W29" s="77"/>
      <c r="X29" s="78"/>
      <c r="Y29" s="79"/>
      <c r="Z29" s="81"/>
      <c r="AA29" s="81"/>
      <c r="AB29" s="82"/>
      <c r="AC29" s="83"/>
      <c r="AD29" s="84"/>
    </row>
    <row r="30" spans="1:30" ht="22.5" x14ac:dyDescent="0.25">
      <c r="A30" s="4" t="s">
        <v>497</v>
      </c>
      <c r="B30" s="176"/>
      <c r="C30" s="177">
        <v>1</v>
      </c>
      <c r="D30" s="2">
        <v>0</v>
      </c>
      <c r="E30" s="178">
        <v>0</v>
      </c>
      <c r="F30" s="76"/>
      <c r="G30" s="76"/>
      <c r="H30" s="77"/>
      <c r="I30" s="78"/>
      <c r="J30" s="79"/>
      <c r="K30" s="76"/>
      <c r="L30" s="76"/>
      <c r="M30" s="77"/>
      <c r="N30" s="78"/>
      <c r="O30" s="79"/>
      <c r="P30" s="76"/>
      <c r="Q30" s="76"/>
      <c r="R30" s="77"/>
      <c r="S30" s="78"/>
      <c r="T30" s="79"/>
      <c r="U30" s="76"/>
      <c r="V30" s="76"/>
      <c r="W30" s="77"/>
      <c r="X30" s="78"/>
      <c r="Y30" s="79"/>
      <c r="Z30" s="81"/>
      <c r="AA30" s="81"/>
      <c r="AB30" s="82"/>
      <c r="AC30" s="83"/>
      <c r="AD30" s="84"/>
    </row>
    <row r="31" spans="1:30" x14ac:dyDescent="0.25">
      <c r="A31" s="4" t="s">
        <v>44</v>
      </c>
      <c r="B31" s="176"/>
      <c r="C31" s="177">
        <v>127</v>
      </c>
      <c r="D31" s="2">
        <v>6.4975690605122899E-2</v>
      </c>
      <c r="E31" s="178">
        <v>53043.477920868201</v>
      </c>
      <c r="F31" s="76"/>
      <c r="G31" s="76"/>
      <c r="H31" s="77"/>
      <c r="I31" s="78"/>
      <c r="J31" s="79"/>
      <c r="K31" s="76"/>
      <c r="L31" s="76"/>
      <c r="M31" s="77"/>
      <c r="N31" s="78"/>
      <c r="O31" s="79"/>
      <c r="P31" s="76"/>
      <c r="Q31" s="76"/>
      <c r="R31" s="77"/>
      <c r="S31" s="78"/>
      <c r="T31" s="79"/>
      <c r="U31" s="76"/>
      <c r="V31" s="76"/>
      <c r="W31" s="77"/>
      <c r="X31" s="78"/>
      <c r="Y31" s="79"/>
      <c r="Z31" s="81"/>
      <c r="AA31" s="81"/>
      <c r="AB31" s="82"/>
      <c r="AC31" s="83"/>
      <c r="AD31" s="84"/>
    </row>
    <row r="32" spans="1:30" x14ac:dyDescent="0.25">
      <c r="A32" s="4" t="s">
        <v>64</v>
      </c>
      <c r="B32" s="176"/>
      <c r="C32" s="177">
        <v>90</v>
      </c>
      <c r="D32" s="2">
        <v>3.0518877014813001E-2</v>
      </c>
      <c r="E32" s="178">
        <v>22158.475602808201</v>
      </c>
      <c r="F32" s="76"/>
      <c r="G32" s="76"/>
      <c r="H32" s="77"/>
      <c r="I32" s="78"/>
      <c r="J32" s="79"/>
      <c r="K32" s="76"/>
      <c r="L32" s="76"/>
      <c r="M32" s="77"/>
      <c r="N32" s="78"/>
      <c r="O32" s="79"/>
      <c r="P32" s="76"/>
      <c r="Q32" s="76"/>
      <c r="R32" s="77"/>
      <c r="S32" s="78"/>
      <c r="T32" s="79"/>
      <c r="U32" s="76"/>
      <c r="V32" s="76"/>
      <c r="W32" s="77"/>
      <c r="X32" s="78"/>
      <c r="Y32" s="79"/>
      <c r="Z32" s="81"/>
      <c r="AA32" s="81"/>
      <c r="AB32" s="82"/>
      <c r="AC32" s="83"/>
      <c r="AD32" s="84"/>
    </row>
    <row r="33" spans="1:30" x14ac:dyDescent="0.25">
      <c r="A33" s="4" t="s">
        <v>15</v>
      </c>
      <c r="B33" s="176"/>
      <c r="C33" s="177">
        <v>20</v>
      </c>
      <c r="D33" s="2">
        <v>1.7705677560742399E-3</v>
      </c>
      <c r="E33" s="178">
        <v>254.78383561643801</v>
      </c>
      <c r="F33" s="76"/>
      <c r="G33" s="76"/>
      <c r="H33" s="77"/>
      <c r="I33" s="78"/>
      <c r="J33" s="79"/>
      <c r="K33" s="76"/>
      <c r="L33" s="76"/>
      <c r="M33" s="77"/>
      <c r="N33" s="78"/>
      <c r="O33" s="79"/>
      <c r="P33" s="76"/>
      <c r="Q33" s="76"/>
      <c r="R33" s="77"/>
      <c r="S33" s="78"/>
      <c r="T33" s="79"/>
      <c r="U33" s="76"/>
      <c r="V33" s="76"/>
      <c r="W33" s="77"/>
      <c r="X33" s="78"/>
      <c r="Y33" s="79"/>
      <c r="Z33" s="81"/>
      <c r="AA33" s="81"/>
      <c r="AB33" s="82"/>
      <c r="AC33" s="83"/>
      <c r="AD33" s="84"/>
    </row>
    <row r="34" spans="1:30" x14ac:dyDescent="0.25">
      <c r="A34" s="4" t="s">
        <v>45</v>
      </c>
      <c r="B34" s="176"/>
      <c r="C34" s="177">
        <v>337</v>
      </c>
      <c r="D34" s="2">
        <v>6.2579980717189496E-2</v>
      </c>
      <c r="E34" s="178">
        <v>167681.95168771999</v>
      </c>
      <c r="F34" s="76"/>
      <c r="G34" s="76"/>
      <c r="H34" s="77"/>
      <c r="I34" s="78"/>
      <c r="J34" s="79"/>
      <c r="K34" s="76"/>
      <c r="L34" s="76"/>
      <c r="M34" s="77"/>
      <c r="N34" s="78"/>
      <c r="O34" s="79"/>
      <c r="P34" s="76"/>
      <c r="Q34" s="76"/>
      <c r="R34" s="77"/>
      <c r="S34" s="78"/>
      <c r="T34" s="79"/>
      <c r="U34" s="76"/>
      <c r="V34" s="76"/>
      <c r="W34" s="77"/>
      <c r="X34" s="78"/>
      <c r="Y34" s="79"/>
      <c r="Z34" s="81"/>
      <c r="AA34" s="81"/>
      <c r="AB34" s="82"/>
      <c r="AC34" s="83"/>
      <c r="AD34" s="84"/>
    </row>
    <row r="35" spans="1:30" x14ac:dyDescent="0.25">
      <c r="A35" s="4" t="s">
        <v>46</v>
      </c>
      <c r="B35" s="176"/>
      <c r="C35" s="177">
        <v>61</v>
      </c>
      <c r="D35" s="2">
        <v>2.6379167335829599E-2</v>
      </c>
      <c r="E35" s="178">
        <v>13255.7069056849</v>
      </c>
      <c r="F35" s="76"/>
      <c r="G35" s="76"/>
      <c r="H35" s="77"/>
      <c r="I35" s="78"/>
      <c r="J35" s="79"/>
      <c r="K35" s="76"/>
      <c r="L35" s="76"/>
      <c r="M35" s="77"/>
      <c r="N35" s="78"/>
      <c r="O35" s="79"/>
      <c r="P35" s="76"/>
      <c r="Q35" s="76"/>
      <c r="R35" s="77"/>
      <c r="S35" s="78"/>
      <c r="T35" s="79"/>
      <c r="U35" s="76"/>
      <c r="V35" s="76"/>
      <c r="W35" s="77"/>
      <c r="X35" s="78"/>
      <c r="Y35" s="79"/>
      <c r="Z35" s="81"/>
      <c r="AA35" s="81"/>
      <c r="AB35" s="82"/>
      <c r="AC35" s="83"/>
      <c r="AD35" s="84"/>
    </row>
    <row r="36" spans="1:30" x14ac:dyDescent="0.25">
      <c r="A36" s="4" t="s">
        <v>47</v>
      </c>
      <c r="B36" s="176"/>
      <c r="C36" s="177">
        <v>55</v>
      </c>
      <c r="D36" s="2">
        <v>7.0991244568517103E-2</v>
      </c>
      <c r="E36" s="178">
        <v>30975.037749520499</v>
      </c>
      <c r="F36" s="76"/>
      <c r="G36" s="76"/>
      <c r="H36" s="77"/>
      <c r="I36" s="78"/>
      <c r="J36" s="79"/>
      <c r="K36" s="76"/>
      <c r="L36" s="76"/>
      <c r="M36" s="77"/>
      <c r="N36" s="78"/>
      <c r="O36" s="79"/>
      <c r="P36" s="76"/>
      <c r="Q36" s="76"/>
      <c r="R36" s="77"/>
      <c r="S36" s="78"/>
      <c r="T36" s="79"/>
      <c r="U36" s="76"/>
      <c r="V36" s="76"/>
      <c r="W36" s="77"/>
      <c r="X36" s="78"/>
      <c r="Y36" s="79"/>
      <c r="Z36" s="81"/>
      <c r="AA36" s="81"/>
      <c r="AB36" s="82"/>
      <c r="AC36" s="83"/>
      <c r="AD36" s="84"/>
    </row>
    <row r="37" spans="1:30" ht="22.5" x14ac:dyDescent="0.25">
      <c r="A37" s="4" t="s">
        <v>25</v>
      </c>
      <c r="B37" s="176"/>
      <c r="C37" s="177">
        <v>69</v>
      </c>
      <c r="D37" s="2">
        <v>4.3716848420029902E-2</v>
      </c>
      <c r="E37" s="178">
        <v>25470.197467465801</v>
      </c>
      <c r="F37" s="76"/>
      <c r="G37" s="76"/>
      <c r="H37" s="77"/>
      <c r="I37" s="78"/>
      <c r="J37" s="79"/>
      <c r="K37" s="76"/>
      <c r="L37" s="76"/>
      <c r="M37" s="77"/>
      <c r="N37" s="78"/>
      <c r="O37" s="79"/>
      <c r="P37" s="76"/>
      <c r="Q37" s="76"/>
      <c r="R37" s="77"/>
      <c r="S37" s="78"/>
      <c r="T37" s="79"/>
      <c r="U37" s="76"/>
      <c r="V37" s="76"/>
      <c r="W37" s="77"/>
      <c r="X37" s="78"/>
      <c r="Y37" s="79"/>
      <c r="Z37" s="81"/>
      <c r="AA37" s="81"/>
      <c r="AB37" s="82"/>
      <c r="AC37" s="83"/>
      <c r="AD37" s="84"/>
    </row>
    <row r="38" spans="1:30" x14ac:dyDescent="0.25">
      <c r="A38" s="4" t="s">
        <v>16</v>
      </c>
      <c r="B38" s="176"/>
      <c r="C38" s="177">
        <v>155</v>
      </c>
      <c r="D38" s="2">
        <v>4.1477580339307901E-2</v>
      </c>
      <c r="E38" s="178">
        <v>47650.628739041102</v>
      </c>
      <c r="F38" s="76"/>
      <c r="G38" s="76"/>
      <c r="H38" s="77"/>
      <c r="I38" s="78"/>
      <c r="J38" s="79"/>
      <c r="K38" s="76"/>
      <c r="L38" s="76"/>
      <c r="M38" s="77"/>
      <c r="N38" s="78"/>
      <c r="O38" s="79"/>
      <c r="P38" s="76"/>
      <c r="Q38" s="76"/>
      <c r="R38" s="77"/>
      <c r="S38" s="78"/>
      <c r="T38" s="79"/>
      <c r="U38" s="76"/>
      <c r="V38" s="76"/>
      <c r="W38" s="77"/>
      <c r="X38" s="78"/>
      <c r="Y38" s="79"/>
      <c r="Z38" s="81"/>
      <c r="AA38" s="81"/>
      <c r="AB38" s="82"/>
      <c r="AC38" s="83"/>
      <c r="AD38" s="84"/>
    </row>
    <row r="39" spans="1:30" x14ac:dyDescent="0.25">
      <c r="A39" s="4" t="s">
        <v>17</v>
      </c>
      <c r="B39" s="176"/>
      <c r="C39" s="177">
        <v>276</v>
      </c>
      <c r="D39" s="2">
        <v>2.3856563523524499E-2</v>
      </c>
      <c r="E39" s="178">
        <v>63407.815531112101</v>
      </c>
      <c r="F39" s="76"/>
      <c r="G39" s="76"/>
      <c r="H39" s="77"/>
      <c r="I39" s="78"/>
      <c r="J39" s="79"/>
      <c r="K39" s="76"/>
      <c r="L39" s="76"/>
      <c r="M39" s="77"/>
      <c r="N39" s="78"/>
      <c r="O39" s="79"/>
      <c r="P39" s="76"/>
      <c r="Q39" s="76"/>
      <c r="R39" s="77"/>
      <c r="S39" s="78"/>
      <c r="T39" s="79"/>
      <c r="U39" s="76"/>
      <c r="V39" s="76"/>
      <c r="W39" s="77"/>
      <c r="X39" s="78"/>
      <c r="Y39" s="79"/>
      <c r="Z39" s="81"/>
      <c r="AA39" s="81"/>
      <c r="AB39" s="82"/>
      <c r="AC39" s="83"/>
      <c r="AD39" s="84"/>
    </row>
    <row r="40" spans="1:30" x14ac:dyDescent="0.25">
      <c r="A40" s="4" t="s">
        <v>48</v>
      </c>
      <c r="B40" s="176"/>
      <c r="C40" s="177">
        <v>99</v>
      </c>
      <c r="D40" s="2">
        <v>3.9596957686694502E-2</v>
      </c>
      <c r="E40" s="178">
        <v>35391.608238493201</v>
      </c>
      <c r="F40" s="76"/>
      <c r="G40" s="76"/>
      <c r="H40" s="77"/>
      <c r="I40" s="78"/>
      <c r="J40" s="79"/>
      <c r="K40" s="76"/>
      <c r="L40" s="76"/>
      <c r="M40" s="77"/>
      <c r="N40" s="78"/>
      <c r="O40" s="79"/>
      <c r="P40" s="76"/>
      <c r="Q40" s="76"/>
      <c r="R40" s="77"/>
      <c r="S40" s="78"/>
      <c r="T40" s="79"/>
      <c r="U40" s="76"/>
      <c r="V40" s="76"/>
      <c r="W40" s="77"/>
      <c r="X40" s="78"/>
      <c r="Y40" s="79"/>
      <c r="Z40" s="81"/>
      <c r="AA40" s="81"/>
      <c r="AB40" s="82"/>
      <c r="AC40" s="83"/>
      <c r="AD40" s="84"/>
    </row>
    <row r="41" spans="1:30" x14ac:dyDescent="0.25">
      <c r="A41" s="4" t="s">
        <v>26</v>
      </c>
      <c r="B41" s="176"/>
      <c r="C41" s="177">
        <v>421</v>
      </c>
      <c r="D41" s="2">
        <v>7.2838260790115197E-2</v>
      </c>
      <c r="E41" s="178">
        <v>249041.809676576</v>
      </c>
      <c r="F41" s="76"/>
      <c r="G41" s="76"/>
      <c r="H41" s="77"/>
      <c r="I41" s="78"/>
      <c r="J41" s="79"/>
      <c r="K41" s="76"/>
      <c r="L41" s="76"/>
      <c r="M41" s="77"/>
      <c r="N41" s="78"/>
      <c r="O41" s="79"/>
      <c r="P41" s="76"/>
      <c r="Q41" s="76"/>
      <c r="R41" s="77"/>
      <c r="S41" s="78"/>
      <c r="T41" s="79"/>
      <c r="U41" s="76"/>
      <c r="V41" s="76"/>
      <c r="W41" s="77"/>
      <c r="X41" s="78"/>
      <c r="Y41" s="79"/>
      <c r="Z41" s="81"/>
      <c r="AA41" s="81"/>
      <c r="AB41" s="82"/>
      <c r="AC41" s="83"/>
      <c r="AD41" s="84"/>
    </row>
    <row r="42" spans="1:30" x14ac:dyDescent="0.25">
      <c r="A42" s="4" t="s">
        <v>27</v>
      </c>
      <c r="B42" s="176"/>
      <c r="C42" s="177">
        <v>114</v>
      </c>
      <c r="D42" s="2">
        <v>7.5422475469351297E-2</v>
      </c>
      <c r="E42" s="178">
        <v>58888.0381505447</v>
      </c>
      <c r="F42" s="76"/>
      <c r="G42" s="76"/>
      <c r="H42" s="77"/>
      <c r="I42" s="78"/>
      <c r="J42" s="79"/>
      <c r="K42" s="76"/>
      <c r="L42" s="76"/>
      <c r="M42" s="77"/>
      <c r="N42" s="78"/>
      <c r="O42" s="79"/>
      <c r="P42" s="76"/>
      <c r="Q42" s="76"/>
      <c r="R42" s="77"/>
      <c r="S42" s="78"/>
      <c r="T42" s="79"/>
      <c r="U42" s="76"/>
      <c r="V42" s="76"/>
      <c r="W42" s="77"/>
      <c r="X42" s="78"/>
      <c r="Y42" s="79"/>
      <c r="Z42" s="81"/>
      <c r="AA42" s="81"/>
      <c r="AB42" s="82"/>
      <c r="AC42" s="83"/>
      <c r="AD42" s="84"/>
    </row>
    <row r="43" spans="1:30" x14ac:dyDescent="0.25">
      <c r="A43" s="4" t="s">
        <v>65</v>
      </c>
      <c r="B43" s="176"/>
      <c r="C43" s="177">
        <v>52</v>
      </c>
      <c r="D43" s="2">
        <v>7.2046609138806395E-2</v>
      </c>
      <c r="E43" s="178">
        <v>31652.247939909299</v>
      </c>
      <c r="F43" s="76"/>
      <c r="G43" s="76"/>
      <c r="H43" s="77"/>
      <c r="I43" s="78"/>
      <c r="J43" s="79"/>
      <c r="K43" s="76"/>
      <c r="L43" s="76"/>
      <c r="M43" s="77"/>
      <c r="N43" s="78"/>
      <c r="O43" s="79"/>
      <c r="P43" s="76"/>
      <c r="Q43" s="76"/>
      <c r="R43" s="77"/>
      <c r="S43" s="78"/>
      <c r="T43" s="79"/>
      <c r="U43" s="76"/>
      <c r="V43" s="76"/>
      <c r="W43" s="77"/>
      <c r="X43" s="78"/>
      <c r="Y43" s="79"/>
      <c r="Z43" s="81"/>
      <c r="AA43" s="81"/>
      <c r="AB43" s="82"/>
      <c r="AC43" s="83"/>
      <c r="AD43" s="84"/>
    </row>
    <row r="44" spans="1:30" x14ac:dyDescent="0.25">
      <c r="A44" s="4" t="s">
        <v>28</v>
      </c>
      <c r="B44" s="176"/>
      <c r="C44" s="177">
        <v>248</v>
      </c>
      <c r="D44" s="2">
        <v>7.2378101062298306E-2</v>
      </c>
      <c r="E44" s="178">
        <v>110169.031269144</v>
      </c>
      <c r="F44" s="76"/>
      <c r="G44" s="76"/>
      <c r="H44" s="77"/>
      <c r="I44" s="78"/>
      <c r="J44" s="79"/>
      <c r="K44" s="76"/>
      <c r="L44" s="76"/>
      <c r="M44" s="77"/>
      <c r="N44" s="78"/>
      <c r="O44" s="79"/>
      <c r="P44" s="76"/>
      <c r="Q44" s="76"/>
      <c r="R44" s="77"/>
      <c r="S44" s="78"/>
      <c r="T44" s="79"/>
      <c r="U44" s="76"/>
      <c r="V44" s="76"/>
      <c r="W44" s="77"/>
      <c r="X44" s="78"/>
      <c r="Y44" s="79"/>
      <c r="Z44" s="81"/>
      <c r="AA44" s="81"/>
      <c r="AB44" s="82"/>
      <c r="AC44" s="83"/>
      <c r="AD44" s="84"/>
    </row>
    <row r="45" spans="1:30" x14ac:dyDescent="0.25">
      <c r="A45" s="4" t="s">
        <v>49</v>
      </c>
      <c r="B45" s="176"/>
      <c r="C45" s="177">
        <v>181</v>
      </c>
      <c r="D45" s="2">
        <v>6.1321413972055601E-2</v>
      </c>
      <c r="E45" s="178">
        <v>75238.142969442604</v>
      </c>
      <c r="F45" s="76"/>
      <c r="G45" s="76"/>
      <c r="H45" s="77"/>
      <c r="I45" s="78"/>
      <c r="J45" s="79"/>
      <c r="K45" s="76"/>
      <c r="L45" s="76"/>
      <c r="M45" s="77"/>
      <c r="N45" s="78"/>
      <c r="O45" s="79"/>
      <c r="P45" s="76"/>
      <c r="Q45" s="76"/>
      <c r="R45" s="77"/>
      <c r="S45" s="78"/>
      <c r="T45" s="79"/>
      <c r="U45" s="76"/>
      <c r="V45" s="76"/>
      <c r="W45" s="77"/>
      <c r="X45" s="78"/>
      <c r="Y45" s="79"/>
      <c r="Z45" s="81"/>
      <c r="AA45" s="81"/>
      <c r="AB45" s="82"/>
      <c r="AC45" s="83"/>
      <c r="AD45" s="84"/>
    </row>
    <row r="46" spans="1:30" x14ac:dyDescent="0.25">
      <c r="A46" s="543" t="s">
        <v>66</v>
      </c>
      <c r="B46" s="176"/>
      <c r="C46" s="177">
        <v>159</v>
      </c>
      <c r="D46" s="2">
        <v>5.3656514369947401E-2</v>
      </c>
      <c r="E46" s="178">
        <v>77795.990510068499</v>
      </c>
      <c r="F46" s="76"/>
      <c r="G46" s="76"/>
      <c r="H46" s="77"/>
      <c r="I46" s="78"/>
      <c r="J46" s="79"/>
      <c r="K46" s="76"/>
      <c r="L46" s="76"/>
      <c r="M46" s="77"/>
      <c r="N46" s="78"/>
      <c r="O46" s="79"/>
      <c r="P46" s="76"/>
      <c r="Q46" s="76"/>
      <c r="R46" s="77"/>
      <c r="S46" s="78"/>
      <c r="T46" s="79"/>
      <c r="U46" s="76"/>
      <c r="V46" s="76"/>
      <c r="W46" s="77"/>
      <c r="X46" s="78"/>
      <c r="Y46" s="79"/>
      <c r="Z46" s="81"/>
      <c r="AA46" s="81"/>
      <c r="AB46" s="82"/>
      <c r="AC46" s="83"/>
      <c r="AD46" s="84"/>
    </row>
    <row r="47" spans="1:30" x14ac:dyDescent="0.25">
      <c r="A47" s="4" t="s">
        <v>29</v>
      </c>
      <c r="B47" s="176"/>
      <c r="C47" s="177">
        <v>138</v>
      </c>
      <c r="D47" s="2">
        <v>4.0870346725440397E-2</v>
      </c>
      <c r="E47" s="178">
        <v>44639.653201267101</v>
      </c>
      <c r="F47" s="76"/>
      <c r="G47" s="76"/>
      <c r="H47" s="77"/>
      <c r="I47" s="78"/>
      <c r="J47" s="79"/>
      <c r="K47" s="76"/>
      <c r="L47" s="76"/>
      <c r="M47" s="77"/>
      <c r="N47" s="78"/>
      <c r="O47" s="79"/>
      <c r="P47" s="76"/>
      <c r="Q47" s="76"/>
      <c r="R47" s="77"/>
      <c r="S47" s="78"/>
      <c r="T47" s="79"/>
      <c r="U47" s="76"/>
      <c r="V47" s="76"/>
      <c r="W47" s="77"/>
      <c r="X47" s="78"/>
      <c r="Y47" s="79"/>
      <c r="Z47" s="81"/>
      <c r="AA47" s="81"/>
      <c r="AB47" s="82"/>
      <c r="AC47" s="83"/>
      <c r="AD47" s="84"/>
    </row>
    <row r="48" spans="1:30" ht="22.5" x14ac:dyDescent="0.25">
      <c r="A48" s="4" t="s">
        <v>7</v>
      </c>
      <c r="B48" s="176"/>
      <c r="C48" s="177">
        <v>239</v>
      </c>
      <c r="D48" s="2">
        <v>7.1933625829011999E-2</v>
      </c>
      <c r="E48" s="178">
        <v>106301.887936097</v>
      </c>
      <c r="F48" s="76"/>
      <c r="G48" s="76"/>
      <c r="H48" s="77"/>
      <c r="I48" s="78"/>
      <c r="J48" s="79"/>
      <c r="K48" s="76"/>
      <c r="L48" s="76"/>
      <c r="M48" s="77"/>
      <c r="N48" s="78"/>
      <c r="O48" s="79"/>
      <c r="P48" s="76"/>
      <c r="Q48" s="76"/>
      <c r="R48" s="77"/>
      <c r="S48" s="78"/>
      <c r="T48" s="79"/>
      <c r="U48" s="76"/>
      <c r="V48" s="76"/>
      <c r="W48" s="77"/>
      <c r="X48" s="78"/>
      <c r="Y48" s="79"/>
      <c r="Z48" s="81"/>
      <c r="AA48" s="81"/>
      <c r="AB48" s="82"/>
      <c r="AC48" s="83"/>
      <c r="AD48" s="84"/>
    </row>
    <row r="49" spans="1:30" x14ac:dyDescent="0.25">
      <c r="A49" s="4" t="s">
        <v>30</v>
      </c>
      <c r="B49" s="176"/>
      <c r="C49" s="177">
        <v>450</v>
      </c>
      <c r="D49" s="2">
        <v>8.83694604728089E-2</v>
      </c>
      <c r="E49" s="178">
        <v>238521.83419485099</v>
      </c>
      <c r="F49" s="76"/>
      <c r="G49" s="76"/>
      <c r="H49" s="77"/>
      <c r="I49" s="78"/>
      <c r="J49" s="79"/>
      <c r="K49" s="76"/>
      <c r="L49" s="76"/>
      <c r="M49" s="77"/>
      <c r="N49" s="78"/>
      <c r="O49" s="79"/>
      <c r="P49" s="76"/>
      <c r="Q49" s="76"/>
      <c r="R49" s="77"/>
      <c r="S49" s="78"/>
      <c r="T49" s="79"/>
      <c r="U49" s="76"/>
      <c r="V49" s="76"/>
      <c r="W49" s="77"/>
      <c r="X49" s="78"/>
      <c r="Y49" s="79"/>
      <c r="Z49" s="81"/>
      <c r="AA49" s="81"/>
      <c r="AB49" s="82"/>
      <c r="AC49" s="83"/>
      <c r="AD49" s="84"/>
    </row>
    <row r="50" spans="1:30" x14ac:dyDescent="0.25">
      <c r="A50" s="4" t="s">
        <v>31</v>
      </c>
      <c r="B50" s="176"/>
      <c r="C50" s="177">
        <v>93</v>
      </c>
      <c r="D50" s="2">
        <v>3.2915585342242003E-2</v>
      </c>
      <c r="E50" s="178">
        <v>21934.863862871</v>
      </c>
      <c r="F50" s="76"/>
      <c r="G50" s="76"/>
      <c r="H50" s="77"/>
      <c r="I50" s="78"/>
      <c r="J50" s="79"/>
      <c r="K50" s="76"/>
      <c r="L50" s="76"/>
      <c r="M50" s="77"/>
      <c r="N50" s="78"/>
      <c r="O50" s="79"/>
      <c r="P50" s="76"/>
      <c r="Q50" s="76"/>
      <c r="R50" s="77"/>
      <c r="S50" s="78"/>
      <c r="T50" s="79"/>
      <c r="U50" s="76"/>
      <c r="V50" s="76"/>
      <c r="W50" s="77"/>
      <c r="X50" s="78"/>
      <c r="Y50" s="79"/>
      <c r="Z50" s="81"/>
      <c r="AA50" s="81"/>
      <c r="AB50" s="82"/>
      <c r="AC50" s="83"/>
      <c r="AD50" s="84"/>
    </row>
    <row r="51" spans="1:30" x14ac:dyDescent="0.25">
      <c r="A51" s="4" t="s">
        <v>281</v>
      </c>
      <c r="B51" s="176"/>
      <c r="C51" s="177">
        <v>7</v>
      </c>
      <c r="D51" s="2">
        <v>0</v>
      </c>
      <c r="E51" s="178">
        <v>0</v>
      </c>
      <c r="F51" s="76"/>
      <c r="G51" s="76"/>
      <c r="H51" s="77"/>
      <c r="I51" s="78"/>
      <c r="J51" s="79"/>
      <c r="K51" s="76"/>
      <c r="L51" s="76"/>
      <c r="M51" s="77"/>
      <c r="N51" s="78"/>
      <c r="O51" s="79"/>
      <c r="P51" s="76"/>
      <c r="Q51" s="76"/>
      <c r="R51" s="77"/>
      <c r="S51" s="78"/>
      <c r="T51" s="79"/>
      <c r="U51" s="76"/>
      <c r="V51" s="76"/>
      <c r="W51" s="77"/>
      <c r="X51" s="78"/>
      <c r="Y51" s="79"/>
      <c r="Z51" s="81"/>
      <c r="AA51" s="81"/>
      <c r="AB51" s="82"/>
      <c r="AC51" s="83"/>
      <c r="AD51" s="84"/>
    </row>
    <row r="52" spans="1:30" x14ac:dyDescent="0.25">
      <c r="A52" s="4" t="s">
        <v>8</v>
      </c>
      <c r="B52" s="176"/>
      <c r="C52" s="177">
        <v>439</v>
      </c>
      <c r="D52" s="2">
        <v>4.3776860746445802E-2</v>
      </c>
      <c r="E52" s="178">
        <v>189420.339244495</v>
      </c>
      <c r="F52" s="76"/>
      <c r="G52" s="76"/>
      <c r="H52" s="77"/>
      <c r="I52" s="78"/>
      <c r="J52" s="79"/>
      <c r="K52" s="76"/>
      <c r="L52" s="76"/>
      <c r="M52" s="77"/>
      <c r="N52" s="78"/>
      <c r="O52" s="79"/>
      <c r="P52" s="76"/>
      <c r="Q52" s="76"/>
      <c r="R52" s="77"/>
      <c r="S52" s="78"/>
      <c r="T52" s="79"/>
      <c r="U52" s="76"/>
      <c r="V52" s="76"/>
      <c r="W52" s="77"/>
      <c r="X52" s="78"/>
      <c r="Y52" s="79"/>
      <c r="Z52" s="81"/>
      <c r="AA52" s="81"/>
      <c r="AB52" s="82"/>
      <c r="AC52" s="83"/>
      <c r="AD52" s="84"/>
    </row>
    <row r="53" spans="1:30" x14ac:dyDescent="0.25">
      <c r="A53" s="4" t="s">
        <v>18</v>
      </c>
      <c r="B53" s="176"/>
      <c r="C53" s="177">
        <v>237</v>
      </c>
      <c r="D53" s="2">
        <v>4.41976255750164E-2</v>
      </c>
      <c r="E53" s="178">
        <v>77302.1987851679</v>
      </c>
      <c r="F53" s="76"/>
      <c r="G53" s="76"/>
      <c r="H53" s="77"/>
      <c r="I53" s="78"/>
      <c r="J53" s="79"/>
      <c r="K53" s="76"/>
      <c r="L53" s="76"/>
      <c r="M53" s="77"/>
      <c r="N53" s="78"/>
      <c r="O53" s="79"/>
      <c r="P53" s="76"/>
      <c r="Q53" s="76"/>
      <c r="R53" s="77"/>
      <c r="S53" s="78"/>
      <c r="T53" s="79"/>
      <c r="U53" s="76"/>
      <c r="V53" s="76"/>
      <c r="W53" s="77"/>
      <c r="X53" s="78"/>
      <c r="Y53" s="79"/>
      <c r="Z53" s="81"/>
      <c r="AA53" s="81"/>
      <c r="AB53" s="82"/>
      <c r="AC53" s="83"/>
      <c r="AD53" s="84"/>
    </row>
    <row r="54" spans="1:30" x14ac:dyDescent="0.25">
      <c r="A54" s="4" t="s">
        <v>293</v>
      </c>
      <c r="B54" s="176"/>
      <c r="C54" s="177">
        <v>13</v>
      </c>
      <c r="D54" s="2">
        <v>9.5273678311227294E-2</v>
      </c>
      <c r="E54" s="178">
        <v>7576.5068493150702</v>
      </c>
      <c r="F54" s="76"/>
      <c r="G54" s="76"/>
      <c r="H54" s="77"/>
      <c r="I54" s="78"/>
      <c r="J54" s="79"/>
      <c r="K54" s="76"/>
      <c r="L54" s="76"/>
      <c r="M54" s="77"/>
      <c r="N54" s="78"/>
      <c r="O54" s="79"/>
      <c r="P54" s="76"/>
      <c r="Q54" s="76"/>
      <c r="R54" s="77"/>
      <c r="S54" s="78"/>
      <c r="T54" s="79"/>
      <c r="U54" s="76"/>
      <c r="V54" s="76"/>
      <c r="W54" s="77"/>
      <c r="X54" s="78"/>
      <c r="Y54" s="79"/>
      <c r="Z54" s="81"/>
      <c r="AA54" s="81"/>
      <c r="AB54" s="82"/>
      <c r="AC54" s="83"/>
      <c r="AD54" s="84"/>
    </row>
    <row r="55" spans="1:30" x14ac:dyDescent="0.25">
      <c r="A55" s="4" t="s">
        <v>67</v>
      </c>
      <c r="B55" s="176"/>
      <c r="C55" s="177">
        <v>224</v>
      </c>
      <c r="D55" s="2">
        <v>8.2912888623551506E-2</v>
      </c>
      <c r="E55" s="178">
        <v>147614.75393715801</v>
      </c>
      <c r="F55" s="76"/>
      <c r="G55" s="76"/>
      <c r="H55" s="77"/>
      <c r="I55" s="78"/>
      <c r="J55" s="79"/>
      <c r="K55" s="76"/>
      <c r="L55" s="76"/>
      <c r="M55" s="77"/>
      <c r="N55" s="78"/>
      <c r="O55" s="79"/>
      <c r="P55" s="76"/>
      <c r="Q55" s="76"/>
      <c r="R55" s="77"/>
      <c r="S55" s="78"/>
      <c r="T55" s="79"/>
      <c r="U55" s="76"/>
      <c r="V55" s="76"/>
      <c r="W55" s="77"/>
      <c r="X55" s="78"/>
      <c r="Y55" s="79"/>
      <c r="Z55" s="81"/>
      <c r="AA55" s="81"/>
      <c r="AB55" s="82"/>
      <c r="AC55" s="83"/>
      <c r="AD55" s="84"/>
    </row>
    <row r="56" spans="1:30" x14ac:dyDescent="0.25">
      <c r="A56" s="4" t="s">
        <v>32</v>
      </c>
      <c r="B56" s="176"/>
      <c r="C56" s="177">
        <v>17</v>
      </c>
      <c r="D56" s="2">
        <v>0.131858661304223</v>
      </c>
      <c r="E56" s="178">
        <v>26688.042465753399</v>
      </c>
      <c r="F56" s="76"/>
      <c r="G56" s="76"/>
      <c r="H56" s="77"/>
      <c r="I56" s="78"/>
      <c r="J56" s="79"/>
      <c r="K56" s="76"/>
      <c r="L56" s="76"/>
      <c r="M56" s="77"/>
      <c r="N56" s="78"/>
      <c r="O56" s="79"/>
      <c r="P56" s="76"/>
      <c r="Q56" s="76"/>
      <c r="R56" s="77"/>
      <c r="S56" s="78"/>
      <c r="T56" s="79"/>
      <c r="U56" s="76"/>
      <c r="V56" s="76"/>
      <c r="W56" s="77"/>
      <c r="X56" s="78"/>
      <c r="Y56" s="79"/>
      <c r="Z56" s="81"/>
      <c r="AA56" s="81"/>
      <c r="AB56" s="82"/>
      <c r="AC56" s="83"/>
      <c r="AD56" s="84"/>
    </row>
    <row r="57" spans="1:30" x14ac:dyDescent="0.25">
      <c r="A57" s="4" t="s">
        <v>68</v>
      </c>
      <c r="B57" s="176"/>
      <c r="C57" s="177">
        <v>173</v>
      </c>
      <c r="D57" s="2">
        <v>5.6215878085507598E-2</v>
      </c>
      <c r="E57" s="178">
        <v>75092.220055428101</v>
      </c>
      <c r="F57" s="76"/>
      <c r="G57" s="76"/>
      <c r="H57" s="77"/>
      <c r="I57" s="78"/>
      <c r="J57" s="79"/>
      <c r="K57" s="76"/>
      <c r="L57" s="76"/>
      <c r="M57" s="77"/>
      <c r="N57" s="78"/>
      <c r="O57" s="79"/>
      <c r="P57" s="76"/>
      <c r="Q57" s="76"/>
      <c r="R57" s="77"/>
      <c r="S57" s="78"/>
      <c r="T57" s="79"/>
      <c r="U57" s="76"/>
      <c r="V57" s="76"/>
      <c r="W57" s="77"/>
      <c r="X57" s="78"/>
      <c r="Y57" s="79"/>
      <c r="Z57" s="81"/>
      <c r="AA57" s="81"/>
      <c r="AB57" s="82"/>
      <c r="AC57" s="83"/>
      <c r="AD57" s="84"/>
    </row>
    <row r="58" spans="1:30" ht="22.5" x14ac:dyDescent="0.25">
      <c r="A58" s="4" t="s">
        <v>33</v>
      </c>
      <c r="B58" s="176"/>
      <c r="C58" s="177">
        <v>151</v>
      </c>
      <c r="D58" s="2">
        <v>6.1995890713246703E-2</v>
      </c>
      <c r="E58" s="178">
        <v>45858.5571443726</v>
      </c>
      <c r="F58" s="76"/>
      <c r="G58" s="76"/>
      <c r="H58" s="77"/>
      <c r="I58" s="78"/>
      <c r="J58" s="79"/>
      <c r="K58" s="76"/>
      <c r="L58" s="76"/>
      <c r="M58" s="77"/>
      <c r="N58" s="78"/>
      <c r="O58" s="79"/>
      <c r="P58" s="76"/>
      <c r="Q58" s="76"/>
      <c r="R58" s="77"/>
      <c r="S58" s="78"/>
      <c r="T58" s="79"/>
      <c r="U58" s="76"/>
      <c r="V58" s="76"/>
      <c r="W58" s="77"/>
      <c r="X58" s="78"/>
      <c r="Y58" s="79"/>
      <c r="Z58" s="81"/>
      <c r="AA58" s="81"/>
      <c r="AB58" s="82"/>
      <c r="AC58" s="83"/>
      <c r="AD58" s="84"/>
    </row>
    <row r="59" spans="1:30" x14ac:dyDescent="0.25">
      <c r="A59" s="4" t="s">
        <v>34</v>
      </c>
      <c r="B59" s="176"/>
      <c r="C59" s="177">
        <v>228</v>
      </c>
      <c r="D59" s="2">
        <v>5.8846570831089497E-2</v>
      </c>
      <c r="E59" s="178">
        <v>104382.74260686099</v>
      </c>
      <c r="F59" s="76"/>
      <c r="G59" s="76"/>
      <c r="H59" s="77"/>
      <c r="I59" s="78"/>
      <c r="J59" s="79"/>
      <c r="K59" s="76"/>
      <c r="L59" s="76"/>
      <c r="M59" s="77"/>
      <c r="N59" s="78"/>
      <c r="O59" s="79"/>
      <c r="P59" s="76"/>
      <c r="Q59" s="76"/>
      <c r="R59" s="77"/>
      <c r="S59" s="78"/>
      <c r="T59" s="79"/>
      <c r="U59" s="76"/>
      <c r="V59" s="76"/>
      <c r="W59" s="77"/>
      <c r="X59" s="78"/>
      <c r="Y59" s="79"/>
      <c r="Z59" s="81"/>
      <c r="AA59" s="81"/>
      <c r="AB59" s="82"/>
      <c r="AC59" s="83"/>
      <c r="AD59" s="84"/>
    </row>
    <row r="60" spans="1:30" x14ac:dyDescent="0.25">
      <c r="A60" s="4" t="s">
        <v>50</v>
      </c>
      <c r="B60" s="176"/>
      <c r="C60" s="177">
        <v>143</v>
      </c>
      <c r="D60" s="2">
        <v>7.5089858572826296E-2</v>
      </c>
      <c r="E60" s="178">
        <v>101974.839362603</v>
      </c>
      <c r="F60" s="76"/>
      <c r="G60" s="76"/>
      <c r="H60" s="77"/>
      <c r="I60" s="78"/>
      <c r="J60" s="79"/>
      <c r="K60" s="76"/>
      <c r="L60" s="76"/>
      <c r="M60" s="77"/>
      <c r="N60" s="78"/>
      <c r="O60" s="79"/>
      <c r="P60" s="76"/>
      <c r="Q60" s="76"/>
      <c r="R60" s="77"/>
      <c r="S60" s="78"/>
      <c r="T60" s="79"/>
      <c r="U60" s="76"/>
      <c r="V60" s="76"/>
      <c r="W60" s="77"/>
      <c r="X60" s="78"/>
      <c r="Y60" s="79"/>
      <c r="Z60" s="81"/>
      <c r="AA60" s="81"/>
      <c r="AB60" s="82"/>
      <c r="AC60" s="85"/>
      <c r="AD60" s="84"/>
    </row>
    <row r="61" spans="1:30" x14ac:dyDescent="0.25">
      <c r="A61" s="4" t="s">
        <v>19</v>
      </c>
      <c r="B61" s="176"/>
      <c r="C61" s="177">
        <v>168</v>
      </c>
      <c r="D61" s="2">
        <v>4.7418406122393203E-2</v>
      </c>
      <c r="E61" s="178">
        <v>84143.177370034202</v>
      </c>
      <c r="F61" s="76"/>
      <c r="G61" s="76"/>
      <c r="H61" s="77"/>
      <c r="I61" s="78"/>
      <c r="J61" s="79"/>
      <c r="K61" s="76"/>
      <c r="L61" s="76"/>
      <c r="M61" s="77"/>
      <c r="N61" s="78"/>
      <c r="O61" s="79"/>
      <c r="P61" s="76"/>
      <c r="Q61" s="76"/>
      <c r="R61" s="77"/>
      <c r="S61" s="78"/>
      <c r="T61" s="79"/>
      <c r="U61" s="76"/>
      <c r="V61" s="76"/>
      <c r="W61" s="77"/>
      <c r="X61" s="78"/>
      <c r="Y61" s="79"/>
      <c r="Z61" s="81"/>
      <c r="AA61" s="81"/>
      <c r="AB61" s="82"/>
      <c r="AC61" s="83"/>
      <c r="AD61" s="84"/>
    </row>
    <row r="62" spans="1:30" x14ac:dyDescent="0.25">
      <c r="A62" s="4" t="s">
        <v>51</v>
      </c>
      <c r="B62" s="176"/>
      <c r="C62" s="177">
        <v>18</v>
      </c>
      <c r="D62" s="2">
        <v>1.7742410845859102E-2</v>
      </c>
      <c r="E62" s="178">
        <v>3768.8210958904101</v>
      </c>
      <c r="F62" s="76"/>
      <c r="G62" s="76"/>
      <c r="H62" s="77"/>
      <c r="I62" s="78"/>
      <c r="J62" s="79"/>
      <c r="K62" s="76"/>
      <c r="L62" s="76"/>
      <c r="M62" s="77"/>
      <c r="N62" s="78"/>
      <c r="O62" s="79"/>
      <c r="P62" s="76"/>
      <c r="Q62" s="76"/>
      <c r="R62" s="77"/>
      <c r="S62" s="78"/>
      <c r="T62" s="79"/>
      <c r="U62" s="76"/>
      <c r="V62" s="76"/>
      <c r="W62" s="77"/>
      <c r="X62" s="78"/>
      <c r="Y62" s="79"/>
      <c r="Z62" s="81"/>
      <c r="AA62" s="81"/>
      <c r="AB62" s="82"/>
      <c r="AC62" s="83"/>
      <c r="AD62" s="84"/>
    </row>
    <row r="63" spans="1:30" x14ac:dyDescent="0.25">
      <c r="A63" s="4" t="s">
        <v>35</v>
      </c>
      <c r="B63" s="176"/>
      <c r="C63" s="177">
        <v>246</v>
      </c>
      <c r="D63" s="2">
        <v>5.3251705779083898E-2</v>
      </c>
      <c r="E63" s="178">
        <v>126848.098945231</v>
      </c>
      <c r="F63" s="76"/>
      <c r="G63" s="76"/>
      <c r="H63" s="77"/>
      <c r="I63" s="78"/>
      <c r="J63" s="79"/>
      <c r="K63" s="76"/>
      <c r="L63" s="76"/>
      <c r="M63" s="77"/>
      <c r="N63" s="78"/>
      <c r="O63" s="79"/>
      <c r="P63" s="76"/>
      <c r="Q63" s="76"/>
      <c r="R63" s="77"/>
      <c r="S63" s="78"/>
      <c r="T63" s="79"/>
      <c r="U63" s="76"/>
      <c r="V63" s="76"/>
      <c r="W63" s="77"/>
      <c r="X63" s="78"/>
      <c r="Y63" s="79"/>
      <c r="Z63" s="81"/>
      <c r="AA63" s="81"/>
      <c r="AB63" s="82"/>
      <c r="AC63" s="83"/>
      <c r="AD63" s="84"/>
    </row>
    <row r="64" spans="1:30" x14ac:dyDescent="0.25">
      <c r="A64" s="4" t="s">
        <v>20</v>
      </c>
      <c r="B64" s="176"/>
      <c r="C64" s="177">
        <v>308</v>
      </c>
      <c r="D64" s="2">
        <v>7.8791079555216595E-2</v>
      </c>
      <c r="E64" s="178">
        <v>160533.798774778</v>
      </c>
      <c r="F64" s="76"/>
      <c r="G64" s="76"/>
      <c r="H64" s="77"/>
      <c r="I64" s="78"/>
      <c r="J64" s="79"/>
      <c r="K64" s="76"/>
      <c r="L64" s="76"/>
      <c r="M64" s="77"/>
      <c r="N64" s="78"/>
      <c r="O64" s="79"/>
      <c r="P64" s="76"/>
      <c r="Q64" s="76"/>
      <c r="R64" s="77"/>
      <c r="S64" s="78"/>
      <c r="T64" s="79"/>
      <c r="U64" s="76"/>
      <c r="V64" s="76"/>
      <c r="W64" s="77"/>
      <c r="X64" s="78"/>
      <c r="Y64" s="79"/>
      <c r="Z64" s="81"/>
      <c r="AA64" s="81"/>
      <c r="AB64" s="82"/>
      <c r="AC64" s="83"/>
      <c r="AD64" s="84"/>
    </row>
    <row r="65" spans="1:30" x14ac:dyDescent="0.25">
      <c r="A65" s="4" t="s">
        <v>52</v>
      </c>
      <c r="B65" s="176"/>
      <c r="C65" s="177">
        <v>123</v>
      </c>
      <c r="D65" s="2">
        <v>6.6502387918977196E-2</v>
      </c>
      <c r="E65" s="178">
        <v>62964.7226484247</v>
      </c>
      <c r="F65" s="76"/>
      <c r="G65" s="76"/>
      <c r="H65" s="77"/>
      <c r="I65" s="78"/>
      <c r="J65" s="79"/>
      <c r="K65" s="76"/>
      <c r="L65" s="76"/>
      <c r="M65" s="77"/>
      <c r="N65" s="78"/>
      <c r="O65" s="79"/>
      <c r="P65" s="76"/>
      <c r="Q65" s="76"/>
      <c r="R65" s="77"/>
      <c r="S65" s="78"/>
      <c r="T65" s="79"/>
      <c r="U65" s="76"/>
      <c r="V65" s="76"/>
      <c r="W65" s="77"/>
      <c r="X65" s="78"/>
      <c r="Y65" s="79"/>
      <c r="Z65" s="81"/>
      <c r="AA65" s="81"/>
      <c r="AB65" s="82"/>
      <c r="AC65" s="83"/>
      <c r="AD65" s="84"/>
    </row>
    <row r="66" spans="1:30" x14ac:dyDescent="0.25">
      <c r="A66" s="4" t="s">
        <v>53</v>
      </c>
      <c r="B66" s="176"/>
      <c r="C66" s="177">
        <v>24</v>
      </c>
      <c r="D66" s="2">
        <v>2.2116010814730899E-2</v>
      </c>
      <c r="E66" s="178">
        <v>4919.3185350263002</v>
      </c>
      <c r="F66" s="76"/>
      <c r="G66" s="76"/>
      <c r="H66" s="77"/>
      <c r="I66" s="78"/>
      <c r="J66" s="79"/>
      <c r="K66" s="76"/>
      <c r="L66" s="76"/>
      <c r="M66" s="77"/>
      <c r="N66" s="78"/>
      <c r="O66" s="79"/>
      <c r="P66" s="76"/>
      <c r="Q66" s="76"/>
      <c r="R66" s="77"/>
      <c r="S66" s="78"/>
      <c r="T66" s="79"/>
      <c r="U66" s="76"/>
      <c r="V66" s="76"/>
      <c r="W66" s="77"/>
      <c r="X66" s="78"/>
      <c r="Y66" s="79"/>
      <c r="Z66" s="81"/>
      <c r="AA66" s="81"/>
      <c r="AB66" s="82"/>
      <c r="AC66" s="83"/>
      <c r="AD66" s="84"/>
    </row>
    <row r="67" spans="1:30" x14ac:dyDescent="0.25">
      <c r="A67" s="4" t="s">
        <v>9</v>
      </c>
      <c r="B67" s="176"/>
      <c r="C67" s="177">
        <v>338</v>
      </c>
      <c r="D67" s="2">
        <v>5.1006504420737002E-2</v>
      </c>
      <c r="E67" s="178">
        <v>124555.306442195</v>
      </c>
      <c r="F67" s="76"/>
      <c r="G67" s="76"/>
      <c r="H67" s="77"/>
      <c r="I67" s="78"/>
      <c r="J67" s="79"/>
      <c r="K67" s="76"/>
      <c r="L67" s="76"/>
      <c r="M67" s="77"/>
      <c r="N67" s="78"/>
      <c r="O67" s="79"/>
      <c r="P67" s="76"/>
      <c r="Q67" s="76"/>
      <c r="R67" s="77"/>
      <c r="S67" s="78"/>
      <c r="T67" s="79"/>
      <c r="U67" s="76"/>
      <c r="V67" s="76"/>
      <c r="W67" s="77"/>
      <c r="X67" s="78"/>
      <c r="Y67" s="79"/>
      <c r="Z67" s="81"/>
      <c r="AA67" s="81"/>
      <c r="AB67" s="82"/>
      <c r="AC67" s="83"/>
      <c r="AD67" s="84"/>
    </row>
    <row r="68" spans="1:30" x14ac:dyDescent="0.25">
      <c r="A68" s="4" t="s">
        <v>10</v>
      </c>
      <c r="B68" s="176"/>
      <c r="C68" s="177">
        <v>190</v>
      </c>
      <c r="D68" s="2">
        <v>7.3928387517741806E-2</v>
      </c>
      <c r="E68" s="178">
        <v>92701.215362328803</v>
      </c>
      <c r="F68" s="76"/>
      <c r="G68" s="76"/>
      <c r="H68" s="77"/>
      <c r="I68" s="78"/>
      <c r="J68" s="79"/>
      <c r="K68" s="76"/>
      <c r="L68" s="76"/>
      <c r="M68" s="77"/>
      <c r="N68" s="78"/>
      <c r="O68" s="79"/>
      <c r="P68" s="76"/>
      <c r="Q68" s="76"/>
      <c r="R68" s="77"/>
      <c r="S68" s="78"/>
      <c r="T68" s="79"/>
      <c r="U68" s="76"/>
      <c r="V68" s="76"/>
      <c r="W68" s="77"/>
      <c r="X68" s="78"/>
      <c r="Y68" s="79"/>
      <c r="Z68" s="81"/>
      <c r="AA68" s="81"/>
      <c r="AB68" s="82"/>
      <c r="AC68" s="83"/>
      <c r="AD68" s="84"/>
    </row>
    <row r="69" spans="1:30" x14ac:dyDescent="0.25">
      <c r="A69" s="4" t="s">
        <v>54</v>
      </c>
      <c r="B69" s="176"/>
      <c r="C69" s="177">
        <v>107</v>
      </c>
      <c r="D69" s="2">
        <v>4.7550363788806498E-2</v>
      </c>
      <c r="E69" s="178">
        <v>25952.599822842501</v>
      </c>
      <c r="F69" s="81"/>
      <c r="G69" s="81"/>
      <c r="H69" s="82"/>
      <c r="I69" s="83"/>
      <c r="J69" s="84"/>
      <c r="K69" s="81"/>
      <c r="L69" s="81"/>
      <c r="M69" s="82"/>
      <c r="N69" s="83"/>
      <c r="O69" s="84"/>
      <c r="P69" s="81"/>
      <c r="Q69" s="81"/>
      <c r="R69" s="82"/>
      <c r="S69" s="83"/>
      <c r="T69" s="84"/>
      <c r="U69" s="81"/>
      <c r="V69" s="81"/>
      <c r="W69" s="82"/>
      <c r="X69" s="83"/>
      <c r="Y69" s="84"/>
      <c r="Z69" s="81"/>
      <c r="AA69" s="81"/>
      <c r="AB69" s="82"/>
      <c r="AC69" s="83"/>
      <c r="AD69" s="84"/>
    </row>
    <row r="70" spans="1:30" x14ac:dyDescent="0.25">
      <c r="A70" s="4" t="s">
        <v>38</v>
      </c>
      <c r="B70" s="176"/>
      <c r="C70" s="177">
        <v>24</v>
      </c>
      <c r="D70" s="2">
        <v>8.64995692365641E-2</v>
      </c>
      <c r="E70" s="178">
        <v>13109.0691780822</v>
      </c>
    </row>
    <row r="71" spans="1:30" x14ac:dyDescent="0.25">
      <c r="A71" s="4" t="s">
        <v>40</v>
      </c>
      <c r="B71" s="176"/>
      <c r="C71" s="177">
        <v>122</v>
      </c>
      <c r="D71" s="2">
        <v>6.4620173472344E-2</v>
      </c>
      <c r="E71" s="178">
        <v>63776.322154041103</v>
      </c>
    </row>
    <row r="72" spans="1:30" x14ac:dyDescent="0.25">
      <c r="A72" s="4" t="s">
        <v>21</v>
      </c>
      <c r="B72" s="176"/>
      <c r="C72" s="177">
        <v>1019</v>
      </c>
      <c r="D72" s="2">
        <v>8.5644966908064502E-2</v>
      </c>
      <c r="E72" s="178">
        <v>397087.264164783</v>
      </c>
    </row>
    <row r="73" spans="1:30" x14ac:dyDescent="0.25">
      <c r="A73" s="4" t="s">
        <v>55</v>
      </c>
      <c r="B73" s="176"/>
      <c r="C73" s="177">
        <v>43</v>
      </c>
      <c r="D73" s="2">
        <v>8.2272518848072601E-2</v>
      </c>
      <c r="E73" s="178">
        <v>29363.829607191801</v>
      </c>
    </row>
    <row r="74" spans="1:30" x14ac:dyDescent="0.25">
      <c r="A74" s="4" t="s">
        <v>56</v>
      </c>
      <c r="B74" s="176"/>
      <c r="C74" s="177">
        <v>629</v>
      </c>
      <c r="D74" s="2">
        <v>8.2759753512211001E-2</v>
      </c>
      <c r="E74" s="178">
        <v>356543.31396781898</v>
      </c>
    </row>
    <row r="75" spans="1:30" x14ac:dyDescent="0.25">
      <c r="A75" s="4" t="s">
        <v>11</v>
      </c>
      <c r="B75" s="176"/>
      <c r="C75" s="177">
        <v>370</v>
      </c>
      <c r="D75" s="2">
        <v>4.7849315857671403E-2</v>
      </c>
      <c r="E75" s="178">
        <v>134040.70516133599</v>
      </c>
    </row>
    <row r="76" spans="1:30" x14ac:dyDescent="0.25">
      <c r="A76" s="4" t="s">
        <v>36</v>
      </c>
      <c r="B76" s="176"/>
      <c r="C76" s="177">
        <v>279</v>
      </c>
      <c r="D76" s="2">
        <v>6.16322495274403E-2</v>
      </c>
      <c r="E76" s="178">
        <v>127901.37630399301</v>
      </c>
    </row>
    <row r="77" spans="1:30" ht="22.5" x14ac:dyDescent="0.25">
      <c r="A77" s="4" t="s">
        <v>57</v>
      </c>
      <c r="B77" s="176"/>
      <c r="C77" s="177">
        <v>311</v>
      </c>
      <c r="D77" s="2">
        <v>7.15436057585489E-2</v>
      </c>
      <c r="E77" s="178">
        <v>149819.51298279699</v>
      </c>
    </row>
    <row r="78" spans="1:30" x14ac:dyDescent="0.25">
      <c r="A78" s="4" t="s">
        <v>60</v>
      </c>
      <c r="B78" s="176"/>
      <c r="C78" s="177">
        <v>30</v>
      </c>
      <c r="D78" s="2">
        <v>3.25717439503821E-2</v>
      </c>
      <c r="E78" s="178">
        <v>5610.4136598964396</v>
      </c>
    </row>
    <row r="79" spans="1:30" x14ac:dyDescent="0.25">
      <c r="A79" s="4" t="s">
        <v>496</v>
      </c>
      <c r="B79" s="176"/>
      <c r="C79" s="177">
        <v>1</v>
      </c>
      <c r="D79" s="2">
        <v>0</v>
      </c>
      <c r="E79" s="178">
        <v>0</v>
      </c>
    </row>
    <row r="80" spans="1:30" x14ac:dyDescent="0.25">
      <c r="A80" s="4" t="s">
        <v>58</v>
      </c>
      <c r="B80" s="176"/>
      <c r="C80" s="177">
        <v>79</v>
      </c>
      <c r="D80" s="2">
        <v>2.62003848612667E-2</v>
      </c>
      <c r="E80" s="178">
        <v>15395.9710150685</v>
      </c>
    </row>
    <row r="81" spans="1:5" ht="22.5" x14ac:dyDescent="0.25">
      <c r="A81" s="4" t="s">
        <v>69</v>
      </c>
      <c r="B81" s="176"/>
      <c r="C81" s="177">
        <v>6</v>
      </c>
      <c r="D81" s="2">
        <v>5.2465897166841602E-3</v>
      </c>
      <c r="E81" s="178">
        <v>332.36986301369899</v>
      </c>
    </row>
    <row r="82" spans="1:5" x14ac:dyDescent="0.25">
      <c r="A82" s="438" t="s">
        <v>70</v>
      </c>
      <c r="B82" s="179"/>
      <c r="C82" s="180">
        <v>10964</v>
      </c>
      <c r="D82" s="3">
        <v>6.2754345286541405E-2</v>
      </c>
      <c r="E82" s="181">
        <v>4958814.2456235196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tabColor rgb="FF92D050"/>
  </sheetPr>
  <dimension ref="A1:U85"/>
  <sheetViews>
    <sheetView topLeftCell="A45" workbookViewId="0">
      <selection activeCell="N72" sqref="N72"/>
    </sheetView>
  </sheetViews>
  <sheetFormatPr defaultColWidth="9.140625" defaultRowHeight="15" x14ac:dyDescent="0.25"/>
  <cols>
    <col min="1" max="1" width="31.85546875" style="160" customWidth="1"/>
    <col min="2" max="2" width="9.42578125" style="10" customWidth="1"/>
    <col min="3" max="3" width="9.140625" style="10" customWidth="1"/>
    <col min="4" max="11" width="4.85546875" style="74" customWidth="1"/>
    <col min="12" max="12" width="5" style="74" customWidth="1"/>
    <col min="13" max="13" width="4.85546875" style="74" customWidth="1"/>
    <col min="14" max="14" width="5" style="74" customWidth="1"/>
    <col min="15" max="19" width="4.85546875" style="74" customWidth="1"/>
    <col min="20" max="20" width="5.140625" style="74" customWidth="1"/>
    <col min="21" max="21" width="11.140625" style="74" customWidth="1"/>
    <col min="22" max="16384" width="9.140625" style="74"/>
  </cols>
  <sheetData>
    <row r="1" spans="1:21" x14ac:dyDescent="0.25">
      <c r="A1" s="161" t="s">
        <v>0</v>
      </c>
      <c r="D1" s="88"/>
      <c r="E1" s="88"/>
      <c r="F1" s="88"/>
      <c r="G1" s="88"/>
      <c r="H1" s="88"/>
      <c r="I1" s="88"/>
      <c r="J1" s="88"/>
      <c r="K1" s="88"/>
      <c r="L1" s="88"/>
      <c r="M1" s="88"/>
      <c r="N1" s="88"/>
      <c r="O1" s="88"/>
      <c r="P1" s="88"/>
      <c r="Q1" s="88"/>
      <c r="R1" s="88"/>
      <c r="S1" s="88"/>
      <c r="T1" s="88"/>
    </row>
    <row r="2" spans="1:21" x14ac:dyDescent="0.25">
      <c r="A2" s="162"/>
      <c r="B2" s="565" t="s">
        <v>72</v>
      </c>
      <c r="C2" s="566" t="s">
        <v>71</v>
      </c>
      <c r="D2" s="86"/>
      <c r="E2" s="86"/>
      <c r="F2" s="86"/>
      <c r="G2" s="86"/>
      <c r="H2" s="86"/>
      <c r="I2" s="86"/>
      <c r="J2" s="86"/>
      <c r="K2" s="86"/>
      <c r="L2" s="86"/>
      <c r="M2" s="86"/>
      <c r="N2" s="86"/>
      <c r="O2" s="86"/>
      <c r="P2" s="86"/>
      <c r="Q2" s="86"/>
      <c r="R2" s="86"/>
      <c r="S2" s="86"/>
      <c r="T2" s="86"/>
    </row>
    <row r="3" spans="1:21" x14ac:dyDescent="0.25">
      <c r="A3" s="567" t="s">
        <v>70</v>
      </c>
      <c r="B3" s="2">
        <v>3.1885910240045598E-2</v>
      </c>
      <c r="C3" s="2">
        <v>3.08684350464958E-2</v>
      </c>
      <c r="D3" s="76"/>
      <c r="E3" s="76"/>
      <c r="F3" s="76"/>
      <c r="G3" s="76"/>
      <c r="H3" s="76"/>
      <c r="I3" s="76"/>
      <c r="J3" s="76"/>
      <c r="K3" s="76"/>
      <c r="L3" s="76"/>
      <c r="M3" s="76"/>
      <c r="N3" s="76"/>
      <c r="O3" s="76"/>
      <c r="P3" s="76"/>
      <c r="Q3" s="76"/>
      <c r="R3" s="76"/>
      <c r="S3" s="76"/>
      <c r="T3" s="76"/>
      <c r="U3" s="87"/>
    </row>
    <row r="4" spans="1:21" x14ac:dyDescent="0.25">
      <c r="A4" s="161" t="s">
        <v>0</v>
      </c>
      <c r="D4" s="76"/>
      <c r="E4" s="76"/>
      <c r="F4" s="76"/>
      <c r="G4" s="76"/>
      <c r="H4" s="76"/>
      <c r="I4" s="76"/>
      <c r="J4" s="76"/>
      <c r="K4" s="76"/>
      <c r="L4" s="76"/>
      <c r="M4" s="76"/>
      <c r="N4" s="76"/>
      <c r="O4" s="76"/>
      <c r="P4" s="76"/>
      <c r="Q4" s="76"/>
      <c r="R4" s="76"/>
      <c r="S4" s="76"/>
      <c r="T4" s="76"/>
      <c r="U4" s="87"/>
    </row>
    <row r="5" spans="1:21" x14ac:dyDescent="0.25">
      <c r="A5" s="182" t="s">
        <v>74</v>
      </c>
      <c r="B5" s="565" t="s">
        <v>72</v>
      </c>
      <c r="C5" s="566" t="s">
        <v>71</v>
      </c>
      <c r="D5" s="76"/>
      <c r="E5" s="76"/>
      <c r="F5" s="76"/>
      <c r="G5" s="76"/>
      <c r="H5" s="76"/>
      <c r="I5" s="76"/>
      <c r="J5" s="76"/>
      <c r="K5" s="76"/>
      <c r="L5" s="76"/>
      <c r="M5" s="76"/>
      <c r="N5" s="76"/>
      <c r="O5" s="76"/>
      <c r="P5" s="76"/>
      <c r="Q5" s="76"/>
      <c r="R5" s="76"/>
      <c r="S5" s="76"/>
      <c r="T5" s="76"/>
      <c r="U5" s="87"/>
    </row>
    <row r="6" spans="1:21" x14ac:dyDescent="0.25">
      <c r="A6" s="567" t="s">
        <v>2</v>
      </c>
      <c r="B6" s="2">
        <v>1.55272437720396E-2</v>
      </c>
      <c r="C6" s="2">
        <v>3.7709020589239001E-2</v>
      </c>
      <c r="D6" s="76"/>
      <c r="E6" s="76"/>
      <c r="F6" s="76"/>
      <c r="G6" s="76"/>
      <c r="H6" s="76"/>
      <c r="I6" s="76"/>
      <c r="J6" s="76"/>
      <c r="K6" s="76"/>
      <c r="L6" s="76"/>
      <c r="M6" s="76"/>
      <c r="N6" s="76"/>
      <c r="O6" s="76"/>
      <c r="P6" s="76"/>
      <c r="Q6" s="76"/>
      <c r="R6" s="76"/>
      <c r="S6" s="76"/>
      <c r="T6" s="76"/>
      <c r="U6" s="87"/>
    </row>
    <row r="7" spans="1:21" x14ac:dyDescent="0.25">
      <c r="A7" s="567" t="s">
        <v>4</v>
      </c>
      <c r="B7" s="2">
        <v>5.1150895140665001E-3</v>
      </c>
      <c r="C7" s="2">
        <v>0</v>
      </c>
      <c r="D7" s="76"/>
      <c r="E7" s="76"/>
      <c r="F7" s="76"/>
      <c r="G7" s="76"/>
      <c r="H7" s="76"/>
      <c r="I7" s="76"/>
      <c r="J7" s="76"/>
      <c r="K7" s="76"/>
      <c r="L7" s="76"/>
      <c r="M7" s="76"/>
      <c r="N7" s="76"/>
      <c r="O7" s="76"/>
      <c r="P7" s="76"/>
      <c r="Q7" s="76"/>
      <c r="R7" s="76"/>
      <c r="S7" s="76"/>
      <c r="T7" s="76"/>
      <c r="U7" s="87"/>
    </row>
    <row r="8" spans="1:21" x14ac:dyDescent="0.25">
      <c r="A8" s="567" t="s">
        <v>6</v>
      </c>
      <c r="B8" s="2">
        <v>3.0623498360789401E-2</v>
      </c>
      <c r="C8" s="2">
        <v>2.3677321317686004E-2</v>
      </c>
      <c r="D8" s="76"/>
      <c r="E8" s="76"/>
      <c r="F8" s="76"/>
      <c r="G8" s="76"/>
      <c r="H8" s="76"/>
      <c r="I8" s="76"/>
      <c r="J8" s="76"/>
      <c r="K8" s="76"/>
      <c r="L8" s="76"/>
      <c r="M8" s="76"/>
      <c r="N8" s="76"/>
      <c r="O8" s="76"/>
      <c r="P8" s="76"/>
      <c r="Q8" s="76"/>
      <c r="R8" s="76"/>
      <c r="S8" s="76"/>
      <c r="T8" s="76"/>
      <c r="U8" s="87"/>
    </row>
    <row r="9" spans="1:21" x14ac:dyDescent="0.25">
      <c r="A9" s="567" t="s">
        <v>12</v>
      </c>
      <c r="B9" s="2">
        <v>2.7010587166992298E-2</v>
      </c>
      <c r="C9" s="2">
        <v>3.6007466378661701E-2</v>
      </c>
      <c r="D9" s="76"/>
      <c r="E9" s="76"/>
      <c r="F9" s="76"/>
      <c r="G9" s="76"/>
      <c r="H9" s="76"/>
      <c r="I9" s="76"/>
      <c r="J9" s="76"/>
      <c r="K9" s="76"/>
      <c r="L9" s="76"/>
      <c r="M9" s="76"/>
      <c r="N9" s="76"/>
      <c r="O9" s="76"/>
      <c r="P9" s="76"/>
      <c r="Q9" s="76"/>
      <c r="R9" s="76"/>
      <c r="S9" s="76"/>
      <c r="T9" s="76"/>
      <c r="U9" s="87"/>
    </row>
    <row r="10" spans="1:21" x14ac:dyDescent="0.25">
      <c r="A10" s="567" t="s">
        <v>280</v>
      </c>
      <c r="B10" s="2">
        <v>0</v>
      </c>
      <c r="C10" s="2">
        <v>0</v>
      </c>
      <c r="D10" s="76"/>
      <c r="E10" s="76"/>
      <c r="F10" s="76"/>
      <c r="G10" s="76"/>
      <c r="H10" s="76"/>
      <c r="I10" s="76"/>
      <c r="J10" s="76"/>
      <c r="K10" s="76"/>
      <c r="L10" s="76"/>
      <c r="M10" s="76"/>
      <c r="N10" s="76"/>
      <c r="O10" s="76"/>
      <c r="P10" s="76"/>
      <c r="Q10" s="76"/>
      <c r="R10" s="76"/>
      <c r="S10" s="76"/>
      <c r="T10" s="76"/>
      <c r="U10" s="87"/>
    </row>
    <row r="11" spans="1:21" x14ac:dyDescent="0.25">
      <c r="A11" s="567" t="s">
        <v>292</v>
      </c>
      <c r="B11" s="2">
        <v>9.3405566971791493E-3</v>
      </c>
      <c r="C11" s="2">
        <v>8.5933121614048188E-2</v>
      </c>
      <c r="D11" s="76"/>
      <c r="E11" s="76"/>
      <c r="F11" s="76"/>
      <c r="G11" s="76"/>
      <c r="H11" s="76"/>
      <c r="I11" s="76"/>
      <c r="J11" s="76"/>
      <c r="K11" s="76"/>
      <c r="L11" s="76"/>
      <c r="M11" s="76"/>
      <c r="N11" s="76"/>
      <c r="O11" s="76"/>
      <c r="P11" s="76"/>
      <c r="Q11" s="76"/>
      <c r="R11" s="76"/>
      <c r="S11" s="76"/>
      <c r="T11" s="76"/>
      <c r="U11" s="87"/>
    </row>
    <row r="12" spans="1:21" x14ac:dyDescent="0.25">
      <c r="A12" s="567" t="s">
        <v>22</v>
      </c>
      <c r="B12" s="2">
        <v>3.6420594511788196E-2</v>
      </c>
      <c r="C12" s="2">
        <v>2.9989589340677799E-2</v>
      </c>
      <c r="D12" s="76"/>
      <c r="E12" s="76"/>
      <c r="F12" s="76"/>
      <c r="G12" s="76"/>
      <c r="H12" s="76"/>
      <c r="I12" s="76"/>
      <c r="J12" s="76"/>
      <c r="K12" s="76"/>
      <c r="L12" s="76"/>
      <c r="M12" s="76"/>
      <c r="N12" s="76"/>
      <c r="O12" s="76"/>
      <c r="P12" s="76"/>
      <c r="Q12" s="76"/>
      <c r="R12" s="76"/>
      <c r="S12" s="76"/>
      <c r="T12" s="76"/>
      <c r="U12" s="87"/>
    </row>
    <row r="13" spans="1:21" x14ac:dyDescent="0.25">
      <c r="A13" s="567" t="s">
        <v>37</v>
      </c>
      <c r="B13" s="2">
        <v>2.1542038315619402E-2</v>
      </c>
      <c r="C13" s="2">
        <v>6.4957530920944709E-2</v>
      </c>
      <c r="D13" s="76"/>
      <c r="E13" s="76"/>
      <c r="F13" s="76"/>
      <c r="G13" s="76"/>
      <c r="H13" s="76"/>
      <c r="I13" s="76"/>
      <c r="J13" s="76"/>
      <c r="K13" s="76"/>
      <c r="L13" s="76"/>
      <c r="M13" s="76"/>
      <c r="N13" s="76"/>
      <c r="O13" s="76"/>
      <c r="P13" s="76"/>
      <c r="Q13" s="76"/>
      <c r="R13" s="76"/>
      <c r="S13" s="76"/>
      <c r="T13" s="76"/>
      <c r="U13" s="87"/>
    </row>
    <row r="14" spans="1:21" x14ac:dyDescent="0.25">
      <c r="A14" s="567" t="s">
        <v>39</v>
      </c>
      <c r="B14" s="2">
        <v>3.27719888824861E-2</v>
      </c>
      <c r="C14" s="2">
        <v>3.18481845898579E-2</v>
      </c>
      <c r="D14" s="76"/>
      <c r="E14" s="76"/>
      <c r="F14" s="76"/>
      <c r="G14" s="76"/>
      <c r="H14" s="76"/>
      <c r="I14" s="76"/>
      <c r="J14" s="76"/>
      <c r="K14" s="76"/>
      <c r="L14" s="76"/>
      <c r="M14" s="76"/>
      <c r="N14" s="76"/>
      <c r="O14" s="76"/>
      <c r="P14" s="76"/>
      <c r="Q14" s="76"/>
      <c r="R14" s="76"/>
      <c r="S14" s="76"/>
      <c r="T14" s="76"/>
      <c r="U14" s="87"/>
    </row>
    <row r="15" spans="1:21" x14ac:dyDescent="0.25">
      <c r="A15" s="567" t="s">
        <v>41</v>
      </c>
      <c r="B15" s="2">
        <v>3.3272889010244E-2</v>
      </c>
      <c r="C15" s="2">
        <v>3.1318953903200698E-2</v>
      </c>
      <c r="D15" s="76"/>
      <c r="E15" s="76"/>
      <c r="F15" s="76"/>
      <c r="G15" s="76"/>
      <c r="H15" s="76"/>
      <c r="I15" s="76"/>
      <c r="J15" s="76"/>
      <c r="K15" s="76"/>
      <c r="L15" s="76"/>
      <c r="M15" s="76"/>
      <c r="N15" s="76"/>
      <c r="O15" s="76"/>
      <c r="P15" s="76"/>
      <c r="Q15" s="76"/>
      <c r="R15" s="76"/>
      <c r="S15" s="76"/>
      <c r="T15" s="76"/>
      <c r="U15" s="87"/>
    </row>
    <row r="16" spans="1:21" x14ac:dyDescent="0.25">
      <c r="A16" s="567" t="s">
        <v>59</v>
      </c>
      <c r="B16" s="2">
        <v>2.0137565709328998E-2</v>
      </c>
      <c r="C16" s="2">
        <v>1.24341782410531E-2</v>
      </c>
      <c r="D16" s="76"/>
      <c r="E16" s="76"/>
      <c r="F16" s="76"/>
      <c r="G16" s="76"/>
      <c r="H16" s="76"/>
      <c r="I16" s="76"/>
      <c r="J16" s="76"/>
      <c r="K16" s="76"/>
      <c r="L16" s="76"/>
      <c r="M16" s="76"/>
      <c r="N16" s="76"/>
      <c r="O16" s="76"/>
      <c r="P16" s="76"/>
      <c r="Q16" s="76"/>
      <c r="R16" s="76"/>
      <c r="S16" s="76"/>
      <c r="T16" s="76"/>
      <c r="U16" s="87"/>
    </row>
    <row r="17" spans="1:21" x14ac:dyDescent="0.25">
      <c r="A17" s="567" t="s">
        <v>496</v>
      </c>
      <c r="B17" s="2">
        <v>0</v>
      </c>
      <c r="C17" s="2">
        <v>0</v>
      </c>
      <c r="D17" s="76"/>
      <c r="E17" s="76"/>
      <c r="F17" s="76"/>
      <c r="G17" s="76"/>
      <c r="H17" s="76"/>
      <c r="I17" s="76"/>
      <c r="J17" s="76"/>
      <c r="K17" s="76"/>
      <c r="L17" s="76"/>
      <c r="M17" s="76"/>
      <c r="N17" s="76"/>
      <c r="O17" s="76"/>
      <c r="P17" s="76"/>
      <c r="Q17" s="76"/>
      <c r="R17" s="76"/>
      <c r="S17" s="76"/>
      <c r="T17" s="76"/>
      <c r="U17" s="87"/>
    </row>
    <row r="18" spans="1:21" x14ac:dyDescent="0.25">
      <c r="A18" s="567" t="s">
        <v>61</v>
      </c>
      <c r="B18" s="2">
        <v>2.9417590322105197E-2</v>
      </c>
      <c r="C18" s="2">
        <v>3.0730409383293699E-2</v>
      </c>
      <c r="D18" s="76"/>
      <c r="E18" s="76"/>
      <c r="F18" s="76"/>
      <c r="G18" s="76"/>
      <c r="H18" s="76"/>
      <c r="I18" s="76"/>
      <c r="J18" s="76"/>
      <c r="K18" s="76"/>
      <c r="L18" s="76"/>
      <c r="M18" s="76"/>
      <c r="N18" s="76"/>
      <c r="O18" s="76"/>
      <c r="P18" s="76"/>
      <c r="Q18" s="76"/>
      <c r="R18" s="76"/>
      <c r="S18" s="76"/>
      <c r="T18" s="76"/>
      <c r="U18" s="87"/>
    </row>
    <row r="19" spans="1:21" x14ac:dyDescent="0.25">
      <c r="A19" s="161" t="s">
        <v>0</v>
      </c>
      <c r="D19" s="76"/>
      <c r="E19" s="76"/>
      <c r="F19" s="76"/>
      <c r="G19" s="76"/>
      <c r="H19" s="76"/>
      <c r="I19" s="76"/>
      <c r="J19" s="76"/>
      <c r="K19" s="76"/>
      <c r="L19" s="76"/>
      <c r="M19" s="76"/>
      <c r="N19" s="76"/>
      <c r="O19" s="76"/>
      <c r="P19" s="76"/>
      <c r="Q19" s="76"/>
      <c r="R19" s="76"/>
      <c r="S19" s="76"/>
      <c r="T19" s="76"/>
      <c r="U19" s="87"/>
    </row>
    <row r="20" spans="1:21" x14ac:dyDescent="0.25">
      <c r="A20" s="182" t="s">
        <v>73</v>
      </c>
      <c r="B20" s="565" t="s">
        <v>72</v>
      </c>
      <c r="C20" s="566" t="s">
        <v>71</v>
      </c>
      <c r="D20" s="76"/>
      <c r="E20" s="76"/>
      <c r="F20" s="76"/>
      <c r="G20" s="76"/>
      <c r="H20" s="76"/>
      <c r="I20" s="76"/>
      <c r="J20" s="76"/>
      <c r="K20" s="76"/>
      <c r="L20" s="76"/>
      <c r="M20" s="76"/>
      <c r="N20" s="76"/>
      <c r="O20" s="76"/>
      <c r="P20" s="76"/>
      <c r="Q20" s="76"/>
      <c r="R20" s="76"/>
      <c r="S20" s="76"/>
      <c r="T20" s="76"/>
      <c r="U20" s="87"/>
    </row>
    <row r="21" spans="1:21" x14ac:dyDescent="0.25">
      <c r="A21" s="567" t="s">
        <v>23</v>
      </c>
      <c r="B21" s="2">
        <v>4.6196302756027395E-2</v>
      </c>
      <c r="C21" s="2">
        <v>1.6586241229287899E-2</v>
      </c>
      <c r="D21" s="76"/>
      <c r="E21" s="76"/>
      <c r="F21" s="76"/>
      <c r="G21" s="76"/>
      <c r="H21" s="76"/>
      <c r="I21" s="76"/>
      <c r="J21" s="76"/>
      <c r="K21" s="76"/>
      <c r="L21" s="76"/>
      <c r="M21" s="76"/>
      <c r="N21" s="76"/>
      <c r="O21" s="76"/>
      <c r="P21" s="76"/>
      <c r="Q21" s="76"/>
      <c r="R21" s="76"/>
      <c r="S21" s="76"/>
      <c r="T21" s="76"/>
      <c r="U21" s="87"/>
    </row>
    <row r="22" spans="1:21" x14ac:dyDescent="0.25">
      <c r="A22" s="567" t="s">
        <v>62</v>
      </c>
      <c r="B22" s="2">
        <v>3.4845611838489797E-2</v>
      </c>
      <c r="C22" s="2">
        <v>1.5610680501872001E-2</v>
      </c>
      <c r="D22" s="76"/>
      <c r="E22" s="76"/>
      <c r="F22" s="76"/>
      <c r="G22" s="76"/>
      <c r="H22" s="76"/>
      <c r="I22" s="76"/>
      <c r="J22" s="76"/>
      <c r="K22" s="76"/>
      <c r="L22" s="76"/>
      <c r="M22" s="76"/>
      <c r="N22" s="76"/>
      <c r="O22" s="76"/>
      <c r="P22" s="76"/>
      <c r="Q22" s="76"/>
      <c r="R22" s="76"/>
      <c r="S22" s="76"/>
      <c r="T22" s="76"/>
      <c r="U22" s="87"/>
    </row>
    <row r="23" spans="1:21" x14ac:dyDescent="0.25">
      <c r="A23" s="567" t="s">
        <v>42</v>
      </c>
      <c r="B23" s="2">
        <v>1.5470890702347998E-2</v>
      </c>
      <c r="C23" s="2">
        <v>1.8338402976019502E-2</v>
      </c>
      <c r="D23" s="76"/>
      <c r="E23" s="76"/>
      <c r="F23" s="76"/>
      <c r="G23" s="76"/>
      <c r="H23" s="76"/>
      <c r="I23" s="76"/>
      <c r="J23" s="76"/>
      <c r="K23" s="76"/>
      <c r="L23" s="76"/>
      <c r="M23" s="76"/>
      <c r="N23" s="76"/>
      <c r="O23" s="76"/>
      <c r="P23" s="76"/>
      <c r="Q23" s="76"/>
      <c r="R23" s="76"/>
      <c r="S23" s="76"/>
      <c r="T23" s="76"/>
      <c r="U23" s="87"/>
    </row>
    <row r="24" spans="1:21" x14ac:dyDescent="0.25">
      <c r="A24" s="567" t="s">
        <v>63</v>
      </c>
      <c r="B24" s="2">
        <v>2.8551341657816903E-2</v>
      </c>
      <c r="C24" s="2">
        <v>4.8524013300569505E-2</v>
      </c>
      <c r="D24" s="76"/>
      <c r="E24" s="76"/>
      <c r="F24" s="76"/>
      <c r="G24" s="76"/>
      <c r="H24" s="76"/>
      <c r="I24" s="76"/>
      <c r="J24" s="76"/>
      <c r="K24" s="76"/>
      <c r="L24" s="76"/>
      <c r="M24" s="76"/>
      <c r="N24" s="76"/>
      <c r="O24" s="76"/>
      <c r="P24" s="76"/>
      <c r="Q24" s="76"/>
      <c r="R24" s="76"/>
      <c r="S24" s="76"/>
      <c r="T24" s="76"/>
      <c r="U24" s="87"/>
    </row>
    <row r="25" spans="1:21" x14ac:dyDescent="0.25">
      <c r="A25" s="567" t="s">
        <v>13</v>
      </c>
      <c r="B25" s="2">
        <v>1.8951787233964699E-2</v>
      </c>
      <c r="C25" s="2">
        <v>4.0863916115175701E-3</v>
      </c>
      <c r="D25" s="76"/>
      <c r="E25" s="76"/>
      <c r="F25" s="76"/>
      <c r="G25" s="76"/>
      <c r="H25" s="76"/>
      <c r="I25" s="76"/>
      <c r="J25" s="76"/>
      <c r="K25" s="76"/>
      <c r="L25" s="76"/>
      <c r="M25" s="76"/>
      <c r="N25" s="76"/>
      <c r="O25" s="76"/>
      <c r="P25" s="76"/>
      <c r="Q25" s="76"/>
      <c r="R25" s="76"/>
      <c r="S25" s="76"/>
      <c r="T25" s="76"/>
      <c r="U25" s="87"/>
    </row>
    <row r="26" spans="1:21" x14ac:dyDescent="0.25">
      <c r="A26" s="567" t="s">
        <v>3</v>
      </c>
      <c r="B26" s="2">
        <v>1.55272437720396E-2</v>
      </c>
      <c r="C26" s="2">
        <v>3.7709020589239001E-2</v>
      </c>
      <c r="D26" s="76"/>
      <c r="E26" s="76"/>
      <c r="F26" s="76"/>
      <c r="G26" s="76"/>
      <c r="H26" s="76"/>
      <c r="I26" s="76"/>
      <c r="J26" s="76"/>
      <c r="K26" s="76"/>
      <c r="L26" s="76"/>
      <c r="M26" s="76"/>
      <c r="N26" s="76"/>
      <c r="O26" s="76"/>
      <c r="P26" s="76"/>
      <c r="Q26" s="76"/>
      <c r="R26" s="76"/>
      <c r="S26" s="76"/>
      <c r="T26" s="76"/>
      <c r="U26" s="87"/>
    </row>
    <row r="27" spans="1:21" x14ac:dyDescent="0.25">
      <c r="A27" s="567" t="s">
        <v>24</v>
      </c>
      <c r="B27" s="2">
        <v>3.5085644645749599E-2</v>
      </c>
      <c r="C27" s="2">
        <v>3.06239215191891E-2</v>
      </c>
      <c r="D27" s="76"/>
      <c r="E27" s="76"/>
      <c r="F27" s="76"/>
      <c r="G27" s="76"/>
      <c r="H27" s="76"/>
      <c r="I27" s="76"/>
      <c r="J27" s="76"/>
      <c r="K27" s="76"/>
      <c r="L27" s="76"/>
      <c r="M27" s="76"/>
      <c r="N27" s="76"/>
      <c r="O27" s="76"/>
      <c r="P27" s="76"/>
      <c r="Q27" s="76"/>
      <c r="R27" s="76"/>
      <c r="S27" s="76"/>
      <c r="T27" s="76"/>
      <c r="U27" s="87"/>
    </row>
    <row r="28" spans="1:21" ht="22.5" x14ac:dyDescent="0.25">
      <c r="A28" s="567" t="s">
        <v>43</v>
      </c>
      <c r="B28" s="2">
        <v>3.02418599443658E-2</v>
      </c>
      <c r="C28" s="2">
        <v>3.4824184133896104E-2</v>
      </c>
      <c r="D28" s="76"/>
      <c r="E28" s="76"/>
      <c r="F28" s="76"/>
      <c r="G28" s="76"/>
      <c r="H28" s="76"/>
      <c r="I28" s="76"/>
      <c r="J28" s="76"/>
      <c r="K28" s="76"/>
      <c r="L28" s="76"/>
      <c r="M28" s="76"/>
      <c r="N28" s="76"/>
      <c r="O28" s="76"/>
      <c r="P28" s="76"/>
      <c r="Q28" s="76"/>
      <c r="R28" s="76"/>
      <c r="S28" s="76"/>
      <c r="T28" s="76"/>
      <c r="U28" s="87"/>
    </row>
    <row r="29" spans="1:21" x14ac:dyDescent="0.25">
      <c r="A29" s="567" t="s">
        <v>5</v>
      </c>
      <c r="B29" s="2">
        <v>5.1150895140665001E-3</v>
      </c>
      <c r="C29" s="2">
        <v>0</v>
      </c>
      <c r="D29" s="76"/>
      <c r="E29" s="76"/>
      <c r="F29" s="76"/>
      <c r="G29" s="76"/>
      <c r="H29" s="76"/>
      <c r="I29" s="76"/>
      <c r="J29" s="76"/>
      <c r="K29" s="76"/>
      <c r="L29" s="76"/>
      <c r="M29" s="76"/>
      <c r="N29" s="76"/>
      <c r="O29" s="76"/>
      <c r="P29" s="76"/>
      <c r="Q29" s="76"/>
      <c r="R29" s="76"/>
      <c r="S29" s="76"/>
      <c r="T29" s="76"/>
      <c r="U29" s="87"/>
    </row>
    <row r="30" spans="1:21" x14ac:dyDescent="0.25">
      <c r="A30" s="567" t="s">
        <v>14</v>
      </c>
      <c r="B30" s="2">
        <v>1.2633833358975499E-2</v>
      </c>
      <c r="C30" s="2">
        <v>1.0497492370072602E-2</v>
      </c>
      <c r="D30" s="76"/>
      <c r="E30" s="76"/>
      <c r="F30" s="76"/>
      <c r="G30" s="76"/>
      <c r="H30" s="76"/>
      <c r="I30" s="76"/>
      <c r="J30" s="76"/>
      <c r="K30" s="76"/>
      <c r="L30" s="76"/>
      <c r="M30" s="76"/>
      <c r="N30" s="76"/>
      <c r="O30" s="76"/>
      <c r="P30" s="76"/>
      <c r="Q30" s="76"/>
      <c r="R30" s="76"/>
      <c r="S30" s="76"/>
      <c r="T30" s="76"/>
      <c r="U30" s="87"/>
    </row>
    <row r="31" spans="1:21" ht="22.5" x14ac:dyDescent="0.25">
      <c r="A31" s="567" t="s">
        <v>497</v>
      </c>
      <c r="B31" s="2">
        <v>0</v>
      </c>
      <c r="C31" s="2">
        <v>0</v>
      </c>
      <c r="D31" s="76"/>
      <c r="E31" s="76"/>
      <c r="F31" s="76"/>
      <c r="G31" s="76"/>
      <c r="H31" s="76"/>
      <c r="I31" s="76"/>
      <c r="J31" s="76"/>
      <c r="K31" s="76"/>
      <c r="L31" s="76"/>
      <c r="M31" s="76"/>
      <c r="N31" s="76"/>
      <c r="O31" s="76"/>
      <c r="P31" s="76"/>
      <c r="Q31" s="76"/>
      <c r="R31" s="76"/>
      <c r="S31" s="76"/>
      <c r="T31" s="76"/>
      <c r="U31" s="87"/>
    </row>
    <row r="32" spans="1:21" x14ac:dyDescent="0.25">
      <c r="A32" s="567" t="s">
        <v>44</v>
      </c>
      <c r="B32" s="2">
        <v>2.1175292600928101E-2</v>
      </c>
      <c r="C32" s="2">
        <v>4.3800398004194802E-2</v>
      </c>
      <c r="D32" s="76"/>
      <c r="E32" s="76"/>
      <c r="F32" s="76"/>
      <c r="G32" s="76"/>
      <c r="H32" s="76"/>
      <c r="I32" s="76"/>
      <c r="J32" s="76"/>
      <c r="K32" s="76"/>
      <c r="L32" s="76"/>
      <c r="M32" s="76"/>
      <c r="N32" s="76"/>
      <c r="O32" s="76"/>
      <c r="P32" s="76"/>
      <c r="Q32" s="76"/>
      <c r="R32" s="76"/>
      <c r="S32" s="76"/>
      <c r="T32" s="76"/>
      <c r="U32" s="87"/>
    </row>
    <row r="33" spans="1:21" x14ac:dyDescent="0.25">
      <c r="A33" s="567" t="s">
        <v>64</v>
      </c>
      <c r="B33" s="2">
        <v>1.9621634124682298E-2</v>
      </c>
      <c r="C33" s="2">
        <v>1.0897242890130601E-2</v>
      </c>
      <c r="D33" s="76"/>
      <c r="E33" s="76"/>
      <c r="F33" s="76"/>
      <c r="G33" s="76"/>
      <c r="H33" s="76"/>
      <c r="I33" s="76"/>
      <c r="J33" s="76"/>
      <c r="K33" s="76"/>
      <c r="L33" s="76"/>
      <c r="M33" s="76"/>
      <c r="N33" s="76"/>
      <c r="O33" s="76"/>
      <c r="P33" s="76"/>
      <c r="Q33" s="76"/>
      <c r="R33" s="76"/>
      <c r="S33" s="76"/>
      <c r="T33" s="76"/>
      <c r="U33" s="87"/>
    </row>
    <row r="34" spans="1:21" x14ac:dyDescent="0.25">
      <c r="A34" s="567" t="s">
        <v>15</v>
      </c>
      <c r="B34" s="2">
        <v>1.7705677560742399E-3</v>
      </c>
      <c r="C34" s="2">
        <v>0</v>
      </c>
      <c r="D34" s="76"/>
      <c r="E34" s="76"/>
      <c r="F34" s="76"/>
      <c r="G34" s="76"/>
      <c r="H34" s="76"/>
      <c r="I34" s="76"/>
      <c r="J34" s="76"/>
      <c r="K34" s="76"/>
      <c r="L34" s="76"/>
      <c r="M34" s="76"/>
      <c r="N34" s="76"/>
      <c r="O34" s="76"/>
      <c r="P34" s="76"/>
      <c r="Q34" s="76"/>
      <c r="R34" s="76"/>
      <c r="S34" s="76"/>
      <c r="T34" s="76"/>
      <c r="U34" s="87"/>
    </row>
    <row r="35" spans="1:21" x14ac:dyDescent="0.25">
      <c r="A35" s="567" t="s">
        <v>45</v>
      </c>
      <c r="B35" s="2">
        <v>3.2875231207256002E-2</v>
      </c>
      <c r="C35" s="2">
        <v>2.9704749509933501E-2</v>
      </c>
      <c r="D35" s="76"/>
      <c r="E35" s="76"/>
      <c r="F35" s="76"/>
      <c r="G35" s="76"/>
      <c r="H35" s="76"/>
      <c r="I35" s="76"/>
      <c r="J35" s="76"/>
      <c r="K35" s="76"/>
      <c r="L35" s="76"/>
      <c r="M35" s="76"/>
      <c r="N35" s="76"/>
      <c r="O35" s="76"/>
      <c r="P35" s="76"/>
      <c r="Q35" s="76"/>
      <c r="R35" s="76"/>
      <c r="S35" s="76"/>
      <c r="T35" s="76"/>
      <c r="U35" s="87"/>
    </row>
    <row r="36" spans="1:21" x14ac:dyDescent="0.25">
      <c r="A36" s="567" t="s">
        <v>46</v>
      </c>
      <c r="B36" s="2">
        <v>1.7989681890927901E-2</v>
      </c>
      <c r="C36" s="2">
        <v>8.3894854449017304E-3</v>
      </c>
      <c r="D36" s="76"/>
      <c r="E36" s="76"/>
      <c r="F36" s="76"/>
      <c r="G36" s="76"/>
      <c r="H36" s="76"/>
      <c r="I36" s="76"/>
      <c r="J36" s="76"/>
      <c r="K36" s="76"/>
      <c r="L36" s="76"/>
      <c r="M36" s="76"/>
      <c r="N36" s="76"/>
      <c r="O36" s="76"/>
      <c r="P36" s="76"/>
      <c r="Q36" s="76"/>
      <c r="R36" s="76"/>
      <c r="S36" s="76"/>
      <c r="T36" s="76"/>
      <c r="U36" s="87"/>
    </row>
    <row r="37" spans="1:21" x14ac:dyDescent="0.25">
      <c r="A37" s="567" t="s">
        <v>47</v>
      </c>
      <c r="B37" s="2">
        <v>3.8301325155495801E-2</v>
      </c>
      <c r="C37" s="2">
        <v>3.2689919413021302E-2</v>
      </c>
      <c r="D37" s="76"/>
      <c r="E37" s="76"/>
      <c r="F37" s="76"/>
      <c r="G37" s="76"/>
      <c r="H37" s="76"/>
      <c r="I37" s="76"/>
      <c r="J37" s="76"/>
      <c r="K37" s="76"/>
      <c r="L37" s="76"/>
      <c r="M37" s="76"/>
      <c r="N37" s="76"/>
      <c r="O37" s="76"/>
      <c r="P37" s="76"/>
      <c r="Q37" s="76"/>
      <c r="R37" s="76"/>
      <c r="S37" s="76"/>
      <c r="T37" s="76"/>
      <c r="U37" s="87"/>
    </row>
    <row r="38" spans="1:21" ht="22.5" x14ac:dyDescent="0.25">
      <c r="A38" s="567" t="s">
        <v>25</v>
      </c>
      <c r="B38" s="2">
        <v>2.03374614247477E-2</v>
      </c>
      <c r="C38" s="2">
        <v>2.3379386995282098E-2</v>
      </c>
      <c r="D38" s="76"/>
      <c r="E38" s="76"/>
      <c r="F38" s="76"/>
      <c r="G38" s="76"/>
      <c r="H38" s="76"/>
      <c r="I38" s="76"/>
      <c r="J38" s="76"/>
      <c r="K38" s="76"/>
      <c r="L38" s="76"/>
      <c r="M38" s="76"/>
      <c r="N38" s="76"/>
      <c r="O38" s="76"/>
      <c r="P38" s="76"/>
      <c r="Q38" s="76"/>
      <c r="R38" s="76"/>
      <c r="S38" s="76"/>
      <c r="T38" s="76"/>
      <c r="U38" s="87"/>
    </row>
    <row r="39" spans="1:21" x14ac:dyDescent="0.25">
      <c r="A39" s="567" t="s">
        <v>16</v>
      </c>
      <c r="B39" s="2">
        <v>1.34655268651612E-2</v>
      </c>
      <c r="C39" s="2">
        <v>2.80120534741468E-2</v>
      </c>
      <c r="D39" s="76"/>
      <c r="E39" s="76"/>
      <c r="F39" s="76"/>
      <c r="G39" s="76"/>
      <c r="H39" s="76"/>
      <c r="I39" s="76"/>
      <c r="J39" s="76"/>
      <c r="K39" s="76"/>
      <c r="L39" s="76"/>
      <c r="M39" s="76"/>
      <c r="N39" s="76"/>
      <c r="O39" s="76"/>
      <c r="P39" s="76"/>
      <c r="Q39" s="76"/>
      <c r="R39" s="76"/>
      <c r="S39" s="76"/>
      <c r="T39" s="76"/>
      <c r="U39" s="87"/>
    </row>
    <row r="40" spans="1:21" x14ac:dyDescent="0.25">
      <c r="A40" s="567" t="s">
        <v>17</v>
      </c>
      <c r="B40" s="2">
        <v>9.5216854624692506E-3</v>
      </c>
      <c r="C40" s="2">
        <v>1.43348780610553E-2</v>
      </c>
      <c r="D40" s="76"/>
      <c r="E40" s="76"/>
      <c r="F40" s="76"/>
      <c r="G40" s="76"/>
      <c r="H40" s="76"/>
      <c r="I40" s="76"/>
      <c r="J40" s="76"/>
      <c r="K40" s="76"/>
      <c r="L40" s="76"/>
      <c r="M40" s="76"/>
      <c r="N40" s="76"/>
      <c r="O40" s="76"/>
      <c r="P40" s="76"/>
      <c r="Q40" s="76"/>
      <c r="R40" s="76"/>
      <c r="S40" s="76"/>
      <c r="T40" s="76"/>
      <c r="U40" s="87"/>
    </row>
    <row r="41" spans="1:21" x14ac:dyDescent="0.25">
      <c r="A41" s="567" t="s">
        <v>48</v>
      </c>
      <c r="B41" s="2">
        <v>2.12012145923299E-2</v>
      </c>
      <c r="C41" s="2">
        <v>1.8395743094364602E-2</v>
      </c>
      <c r="D41" s="76"/>
      <c r="E41" s="76"/>
      <c r="F41" s="76"/>
      <c r="G41" s="76"/>
      <c r="H41" s="76"/>
      <c r="I41" s="76"/>
      <c r="J41" s="76"/>
      <c r="K41" s="76"/>
      <c r="L41" s="76"/>
      <c r="M41" s="76"/>
      <c r="N41" s="76"/>
      <c r="O41" s="76"/>
      <c r="P41" s="76"/>
      <c r="Q41" s="76"/>
      <c r="R41" s="76"/>
      <c r="S41" s="76"/>
      <c r="T41" s="76"/>
      <c r="U41" s="87"/>
    </row>
    <row r="42" spans="1:21" x14ac:dyDescent="0.25">
      <c r="A42" s="567" t="s">
        <v>26</v>
      </c>
      <c r="B42" s="2">
        <v>3.8076105165153404E-2</v>
      </c>
      <c r="C42" s="2">
        <v>3.4762155624961801E-2</v>
      </c>
      <c r="D42" s="76"/>
      <c r="E42" s="76"/>
      <c r="F42" s="76"/>
      <c r="G42" s="76"/>
      <c r="H42" s="76"/>
      <c r="I42" s="76"/>
      <c r="J42" s="76"/>
      <c r="K42" s="76"/>
      <c r="L42" s="76"/>
      <c r="M42" s="76"/>
      <c r="N42" s="76"/>
      <c r="O42" s="76"/>
      <c r="P42" s="76"/>
      <c r="Q42" s="76"/>
      <c r="R42" s="76"/>
      <c r="S42" s="76"/>
      <c r="T42" s="76"/>
      <c r="U42" s="87"/>
    </row>
    <row r="43" spans="1:21" x14ac:dyDescent="0.25">
      <c r="A43" s="567" t="s">
        <v>27</v>
      </c>
      <c r="B43" s="2">
        <v>3.2649741270924799E-2</v>
      </c>
      <c r="C43" s="2">
        <v>4.2772734198426601E-2</v>
      </c>
      <c r="D43" s="76"/>
      <c r="E43" s="76"/>
      <c r="F43" s="76"/>
      <c r="G43" s="76"/>
      <c r="H43" s="76"/>
      <c r="I43" s="76"/>
      <c r="J43" s="76"/>
      <c r="K43" s="76"/>
      <c r="L43" s="76"/>
      <c r="M43" s="76"/>
      <c r="N43" s="76"/>
      <c r="O43" s="76"/>
      <c r="P43" s="76"/>
      <c r="Q43" s="76"/>
      <c r="R43" s="76"/>
      <c r="S43" s="76"/>
      <c r="T43" s="76"/>
      <c r="U43" s="87"/>
    </row>
    <row r="44" spans="1:21" x14ac:dyDescent="0.25">
      <c r="A44" s="567" t="s">
        <v>65</v>
      </c>
      <c r="B44" s="2">
        <v>2.7826856838474797E-2</v>
      </c>
      <c r="C44" s="2">
        <v>4.4219752300331601E-2</v>
      </c>
      <c r="D44" s="76"/>
      <c r="E44" s="76"/>
      <c r="F44" s="76"/>
      <c r="G44" s="76"/>
      <c r="H44" s="76"/>
      <c r="I44" s="76"/>
      <c r="J44" s="76"/>
      <c r="K44" s="76"/>
      <c r="L44" s="76"/>
      <c r="M44" s="76"/>
      <c r="N44" s="76"/>
      <c r="O44" s="76"/>
      <c r="P44" s="76"/>
      <c r="Q44" s="76"/>
      <c r="R44" s="76"/>
      <c r="S44" s="76"/>
      <c r="T44" s="76"/>
      <c r="U44" s="87"/>
    </row>
    <row r="45" spans="1:21" x14ac:dyDescent="0.25">
      <c r="A45" s="567" t="s">
        <v>28</v>
      </c>
      <c r="B45" s="2">
        <v>4.2548006845353398E-2</v>
      </c>
      <c r="C45" s="2">
        <v>2.9830094216944901E-2</v>
      </c>
      <c r="D45" s="76"/>
      <c r="E45" s="76"/>
      <c r="F45" s="76"/>
      <c r="G45" s="76"/>
      <c r="H45" s="76"/>
      <c r="I45" s="76"/>
      <c r="J45" s="76"/>
      <c r="K45" s="76"/>
      <c r="L45" s="76"/>
      <c r="M45" s="76"/>
      <c r="N45" s="76"/>
      <c r="O45" s="76"/>
      <c r="P45" s="76"/>
      <c r="Q45" s="76"/>
      <c r="R45" s="76"/>
      <c r="S45" s="76"/>
      <c r="T45" s="76"/>
      <c r="U45" s="87"/>
    </row>
    <row r="46" spans="1:21" x14ac:dyDescent="0.25">
      <c r="A46" s="567" t="s">
        <v>49</v>
      </c>
      <c r="B46" s="2">
        <v>4.5276327036622703E-2</v>
      </c>
      <c r="C46" s="2">
        <v>1.6045086935432898E-2</v>
      </c>
      <c r="D46" s="76"/>
      <c r="E46" s="76"/>
      <c r="F46" s="76"/>
      <c r="G46" s="76"/>
      <c r="H46" s="76"/>
      <c r="I46" s="76"/>
      <c r="J46" s="76"/>
      <c r="K46" s="76"/>
      <c r="L46" s="76"/>
      <c r="M46" s="76"/>
      <c r="N46" s="76"/>
      <c r="O46" s="76"/>
      <c r="P46" s="76"/>
      <c r="Q46" s="76"/>
      <c r="R46" s="76"/>
      <c r="S46" s="76"/>
      <c r="T46" s="76"/>
      <c r="U46" s="87"/>
    </row>
    <row r="47" spans="1:21" x14ac:dyDescent="0.25">
      <c r="A47" s="543" t="s">
        <v>66</v>
      </c>
      <c r="B47" s="2">
        <v>2.6561364424912203E-2</v>
      </c>
      <c r="C47" s="2">
        <v>2.7095149945035198E-2</v>
      </c>
      <c r="D47" s="76"/>
      <c r="E47" s="76"/>
      <c r="F47" s="76"/>
      <c r="G47" s="76"/>
      <c r="H47" s="76"/>
      <c r="I47" s="76"/>
      <c r="J47" s="76"/>
      <c r="K47" s="76"/>
      <c r="L47" s="76"/>
      <c r="M47" s="76"/>
      <c r="N47" s="76"/>
      <c r="O47" s="76"/>
      <c r="P47" s="76"/>
      <c r="Q47" s="76"/>
      <c r="R47" s="76"/>
      <c r="S47" s="76"/>
      <c r="T47" s="76"/>
      <c r="U47" s="87"/>
    </row>
    <row r="48" spans="1:21" x14ac:dyDescent="0.25">
      <c r="A48" s="567" t="s">
        <v>29</v>
      </c>
      <c r="B48" s="2">
        <v>2.9541439415884399E-2</v>
      </c>
      <c r="C48" s="2">
        <v>1.1328907309556E-2</v>
      </c>
      <c r="D48" s="76"/>
      <c r="E48" s="76"/>
      <c r="F48" s="76"/>
      <c r="G48" s="76"/>
      <c r="H48" s="76"/>
      <c r="I48" s="76"/>
      <c r="J48" s="76"/>
      <c r="K48" s="76"/>
      <c r="L48" s="76"/>
      <c r="M48" s="76"/>
      <c r="N48" s="76"/>
      <c r="O48" s="76"/>
      <c r="P48" s="76"/>
      <c r="Q48" s="76"/>
      <c r="R48" s="76"/>
      <c r="S48" s="76"/>
      <c r="T48" s="76"/>
      <c r="U48" s="87"/>
    </row>
    <row r="49" spans="1:21" ht="22.5" x14ac:dyDescent="0.25">
      <c r="A49" s="567" t="s">
        <v>7</v>
      </c>
      <c r="B49" s="2">
        <v>3.5601801922947297E-2</v>
      </c>
      <c r="C49" s="2">
        <v>3.6331823906064604E-2</v>
      </c>
      <c r="D49" s="76"/>
      <c r="E49" s="76"/>
      <c r="F49" s="76"/>
      <c r="G49" s="76"/>
      <c r="H49" s="76"/>
      <c r="I49" s="76"/>
      <c r="J49" s="76"/>
      <c r="K49" s="76"/>
      <c r="L49" s="76"/>
      <c r="M49" s="76"/>
      <c r="N49" s="76"/>
      <c r="O49" s="76"/>
      <c r="P49" s="76"/>
      <c r="Q49" s="76"/>
      <c r="R49" s="76"/>
      <c r="S49" s="76"/>
      <c r="T49" s="76"/>
      <c r="U49" s="87"/>
    </row>
    <row r="50" spans="1:21" x14ac:dyDescent="0.25">
      <c r="A50" s="567" t="s">
        <v>30</v>
      </c>
      <c r="B50" s="2">
        <v>3.8004850267840402E-2</v>
      </c>
      <c r="C50" s="2">
        <v>5.0364610204968498E-2</v>
      </c>
      <c r="D50" s="76"/>
      <c r="E50" s="76"/>
      <c r="F50" s="76"/>
      <c r="G50" s="76"/>
      <c r="H50" s="76"/>
      <c r="I50" s="76"/>
      <c r="J50" s="76"/>
      <c r="K50" s="76"/>
      <c r="L50" s="76"/>
      <c r="M50" s="76"/>
      <c r="N50" s="76"/>
      <c r="O50" s="76"/>
      <c r="P50" s="76"/>
      <c r="Q50" s="76"/>
      <c r="R50" s="76"/>
      <c r="S50" s="76"/>
      <c r="T50" s="76"/>
      <c r="U50" s="87"/>
    </row>
    <row r="51" spans="1:21" x14ac:dyDescent="0.25">
      <c r="A51" s="567" t="s">
        <v>31</v>
      </c>
      <c r="B51" s="2">
        <v>3.2915585342242003E-2</v>
      </c>
      <c r="C51" s="2">
        <v>0</v>
      </c>
      <c r="D51" s="76"/>
      <c r="E51" s="76"/>
      <c r="F51" s="76"/>
      <c r="G51" s="76"/>
      <c r="H51" s="76"/>
      <c r="I51" s="76"/>
      <c r="J51" s="76"/>
      <c r="K51" s="76"/>
      <c r="L51" s="76"/>
      <c r="M51" s="76"/>
      <c r="N51" s="76"/>
      <c r="O51" s="76"/>
      <c r="P51" s="76"/>
      <c r="Q51" s="76"/>
      <c r="R51" s="76"/>
      <c r="S51" s="76"/>
      <c r="T51" s="76"/>
      <c r="U51" s="87"/>
    </row>
    <row r="52" spans="1:21" x14ac:dyDescent="0.25">
      <c r="A52" s="567" t="s">
        <v>281</v>
      </c>
      <c r="B52" s="2">
        <v>0</v>
      </c>
      <c r="C52" s="2">
        <v>0</v>
      </c>
      <c r="D52" s="76"/>
      <c r="E52" s="76"/>
      <c r="F52" s="76"/>
      <c r="G52" s="76"/>
      <c r="H52" s="76"/>
      <c r="I52" s="76"/>
      <c r="J52" s="76"/>
      <c r="K52" s="76"/>
      <c r="L52" s="76"/>
      <c r="M52" s="76"/>
      <c r="N52" s="76"/>
      <c r="O52" s="76"/>
      <c r="P52" s="76"/>
      <c r="Q52" s="76"/>
      <c r="R52" s="76"/>
      <c r="S52" s="76"/>
      <c r="T52" s="76"/>
      <c r="U52" s="87"/>
    </row>
    <row r="53" spans="1:21" x14ac:dyDescent="0.25">
      <c r="A53" s="567" t="s">
        <v>8</v>
      </c>
      <c r="B53" s="2">
        <v>2.4463151496572699E-2</v>
      </c>
      <c r="C53" s="2">
        <v>1.93137092498731E-2</v>
      </c>
      <c r="D53" s="76"/>
      <c r="E53" s="76"/>
      <c r="F53" s="76"/>
      <c r="G53" s="76"/>
      <c r="H53" s="76"/>
      <c r="I53" s="76"/>
      <c r="J53" s="76"/>
      <c r="K53" s="76"/>
      <c r="L53" s="76"/>
      <c r="M53" s="76"/>
      <c r="N53" s="76"/>
      <c r="O53" s="76"/>
      <c r="P53" s="76"/>
      <c r="Q53" s="76"/>
      <c r="R53" s="76"/>
      <c r="S53" s="76"/>
      <c r="T53" s="76"/>
      <c r="U53" s="87"/>
    </row>
    <row r="54" spans="1:21" x14ac:dyDescent="0.25">
      <c r="A54" s="567" t="s">
        <v>18</v>
      </c>
      <c r="B54" s="2">
        <v>2.0707285469406499E-2</v>
      </c>
      <c r="C54" s="2">
        <v>2.3490340105609801E-2</v>
      </c>
      <c r="D54" s="76"/>
      <c r="E54" s="76"/>
      <c r="F54" s="76"/>
      <c r="G54" s="76"/>
      <c r="H54" s="76"/>
      <c r="I54" s="76"/>
      <c r="J54" s="76"/>
      <c r="K54" s="85"/>
      <c r="L54" s="85"/>
      <c r="M54" s="85"/>
      <c r="N54" s="85"/>
      <c r="O54" s="85"/>
      <c r="P54" s="85"/>
      <c r="Q54" s="76"/>
      <c r="R54" s="76"/>
      <c r="S54" s="76"/>
      <c r="T54" s="76"/>
      <c r="U54" s="87"/>
    </row>
    <row r="55" spans="1:21" x14ac:dyDescent="0.25">
      <c r="A55" s="567" t="s">
        <v>293</v>
      </c>
      <c r="B55" s="2">
        <v>9.3405566971791493E-3</v>
      </c>
      <c r="C55" s="2">
        <v>8.5933121614048188E-2</v>
      </c>
      <c r="D55" s="76"/>
      <c r="E55" s="76"/>
      <c r="F55" s="76"/>
      <c r="G55" s="76"/>
      <c r="H55" s="76"/>
      <c r="I55" s="76"/>
      <c r="J55" s="76"/>
      <c r="K55" s="76"/>
      <c r="L55" s="76"/>
      <c r="M55" s="76"/>
      <c r="N55" s="76"/>
      <c r="O55" s="76"/>
      <c r="P55" s="76"/>
      <c r="Q55" s="76"/>
      <c r="R55" s="76"/>
      <c r="S55" s="76"/>
      <c r="T55" s="76"/>
      <c r="U55" s="87"/>
    </row>
    <row r="56" spans="1:21" x14ac:dyDescent="0.25">
      <c r="A56" s="567" t="s">
        <v>67</v>
      </c>
      <c r="B56" s="2">
        <v>3.2831444521802401E-2</v>
      </c>
      <c r="C56" s="2">
        <v>5.0081444101749098E-2</v>
      </c>
      <c r="D56" s="76"/>
      <c r="E56" s="76"/>
      <c r="F56" s="76"/>
      <c r="G56" s="76"/>
      <c r="H56" s="76"/>
      <c r="I56" s="76"/>
      <c r="J56" s="76"/>
      <c r="K56" s="76"/>
      <c r="L56" s="76"/>
      <c r="M56" s="76"/>
      <c r="N56" s="76"/>
      <c r="O56" s="76"/>
      <c r="P56" s="76"/>
      <c r="Q56" s="76"/>
      <c r="R56" s="76"/>
      <c r="S56" s="76"/>
      <c r="T56" s="76"/>
      <c r="U56" s="87"/>
    </row>
    <row r="57" spans="1:21" x14ac:dyDescent="0.25">
      <c r="A57" s="567" t="s">
        <v>32</v>
      </c>
      <c r="B57" s="2">
        <v>3.7058316575696602E-2</v>
      </c>
      <c r="C57" s="2">
        <v>9.4800344728526303E-2</v>
      </c>
      <c r="D57" s="76"/>
      <c r="E57" s="76"/>
      <c r="F57" s="76"/>
      <c r="G57" s="76"/>
      <c r="H57" s="76"/>
      <c r="I57" s="76"/>
      <c r="J57" s="76"/>
      <c r="K57" s="76"/>
      <c r="L57" s="76"/>
      <c r="M57" s="76"/>
      <c r="N57" s="76"/>
      <c r="O57" s="76"/>
      <c r="P57" s="76"/>
      <c r="Q57" s="76"/>
      <c r="R57" s="76"/>
      <c r="S57" s="76"/>
      <c r="T57" s="76"/>
      <c r="U57" s="87"/>
    </row>
    <row r="58" spans="1:21" x14ac:dyDescent="0.25">
      <c r="A58" s="567" t="s">
        <v>68</v>
      </c>
      <c r="B58" s="2">
        <v>2.7992340495795597E-2</v>
      </c>
      <c r="C58" s="2">
        <v>2.8223537589712001E-2</v>
      </c>
      <c r="D58" s="76"/>
      <c r="E58" s="76"/>
      <c r="F58" s="76"/>
      <c r="G58" s="76"/>
      <c r="H58" s="76"/>
      <c r="I58" s="76"/>
      <c r="J58" s="76"/>
      <c r="K58" s="76"/>
      <c r="L58" s="76"/>
      <c r="M58" s="76"/>
      <c r="N58" s="76"/>
      <c r="O58" s="76"/>
      <c r="P58" s="76"/>
      <c r="Q58" s="76"/>
      <c r="R58" s="76"/>
      <c r="S58" s="76"/>
      <c r="T58" s="76"/>
      <c r="U58" s="87"/>
    </row>
    <row r="59" spans="1:21" ht="22.5" x14ac:dyDescent="0.25">
      <c r="A59" s="567" t="s">
        <v>33</v>
      </c>
      <c r="B59" s="2">
        <v>3.2513360002025704E-2</v>
      </c>
      <c r="C59" s="2">
        <v>2.9482530711220999E-2</v>
      </c>
      <c r="D59" s="76"/>
      <c r="E59" s="76"/>
      <c r="F59" s="76"/>
      <c r="G59" s="76"/>
      <c r="H59" s="76"/>
      <c r="I59" s="76"/>
      <c r="J59" s="76"/>
      <c r="K59" s="76"/>
      <c r="L59" s="76"/>
      <c r="M59" s="76"/>
      <c r="N59" s="76"/>
      <c r="O59" s="76"/>
      <c r="P59" s="76"/>
      <c r="Q59" s="76"/>
      <c r="R59" s="76"/>
      <c r="S59" s="76"/>
      <c r="T59" s="76"/>
      <c r="U59" s="87"/>
    </row>
    <row r="60" spans="1:21" x14ac:dyDescent="0.25">
      <c r="A60" s="567" t="s">
        <v>34</v>
      </c>
      <c r="B60" s="2">
        <v>2.36039602708648E-2</v>
      </c>
      <c r="C60" s="2">
        <v>3.5242610560224701E-2</v>
      </c>
      <c r="D60" s="76"/>
      <c r="E60" s="76"/>
      <c r="F60" s="76"/>
      <c r="G60" s="76"/>
      <c r="H60" s="76"/>
      <c r="I60" s="76"/>
      <c r="J60" s="76"/>
      <c r="K60" s="76"/>
      <c r="L60" s="76"/>
      <c r="M60" s="76"/>
      <c r="N60" s="76"/>
      <c r="O60" s="76"/>
      <c r="P60" s="76"/>
      <c r="Q60" s="76"/>
      <c r="R60" s="76"/>
      <c r="S60" s="76"/>
      <c r="T60" s="76"/>
      <c r="U60" s="87"/>
    </row>
    <row r="61" spans="1:21" x14ac:dyDescent="0.25">
      <c r="A61" s="567" t="s">
        <v>50</v>
      </c>
      <c r="B61" s="2">
        <v>3.5363447255819497E-2</v>
      </c>
      <c r="C61" s="2">
        <v>3.9726411317006695E-2</v>
      </c>
      <c r="D61" s="76"/>
      <c r="E61" s="76"/>
      <c r="F61" s="76"/>
      <c r="G61" s="76"/>
      <c r="H61" s="76"/>
      <c r="I61" s="76"/>
      <c r="J61" s="76"/>
      <c r="K61" s="76"/>
      <c r="L61" s="76"/>
      <c r="M61" s="76"/>
      <c r="N61" s="76"/>
      <c r="O61" s="76"/>
      <c r="P61" s="76"/>
      <c r="Q61" s="76"/>
      <c r="R61" s="76"/>
      <c r="S61" s="76"/>
      <c r="T61" s="76"/>
      <c r="U61" s="87"/>
    </row>
    <row r="62" spans="1:21" x14ac:dyDescent="0.25">
      <c r="A62" s="567" t="s">
        <v>19</v>
      </c>
      <c r="B62" s="2">
        <v>2.4875946540897101E-2</v>
      </c>
      <c r="C62" s="2">
        <v>2.2542459581496099E-2</v>
      </c>
      <c r="D62" s="76"/>
      <c r="E62" s="76"/>
      <c r="F62" s="76"/>
      <c r="G62" s="76"/>
      <c r="H62" s="76"/>
      <c r="I62" s="76"/>
      <c r="J62" s="76"/>
      <c r="K62" s="76"/>
      <c r="L62" s="76"/>
      <c r="M62" s="76"/>
      <c r="N62" s="76"/>
      <c r="O62" s="76"/>
      <c r="P62" s="76"/>
      <c r="Q62" s="76"/>
      <c r="R62" s="76"/>
      <c r="S62" s="76"/>
      <c r="T62" s="76"/>
      <c r="U62" s="87"/>
    </row>
    <row r="63" spans="1:21" x14ac:dyDescent="0.25">
      <c r="A63" s="567" t="s">
        <v>51</v>
      </c>
      <c r="B63" s="2">
        <v>1.7742410845859102E-2</v>
      </c>
      <c r="C63" s="2">
        <v>0</v>
      </c>
    </row>
    <row r="64" spans="1:21" x14ac:dyDescent="0.25">
      <c r="A64" s="567" t="s">
        <v>35</v>
      </c>
      <c r="B64" s="2">
        <v>3.7851109828019598E-2</v>
      </c>
      <c r="C64" s="2">
        <v>1.54005959510643E-2</v>
      </c>
    </row>
    <row r="65" spans="1:3" x14ac:dyDescent="0.25">
      <c r="A65" s="567" t="s">
        <v>20</v>
      </c>
      <c r="B65" s="2">
        <v>3.1381817184002202E-2</v>
      </c>
      <c r="C65" s="2">
        <v>4.74092623712144E-2</v>
      </c>
    </row>
    <row r="66" spans="1:3" x14ac:dyDescent="0.25">
      <c r="A66" s="567" t="s">
        <v>52</v>
      </c>
      <c r="B66" s="2">
        <v>3.1825171271167699E-2</v>
      </c>
      <c r="C66" s="2">
        <v>3.4677216647809497E-2</v>
      </c>
    </row>
    <row r="67" spans="1:3" x14ac:dyDescent="0.25">
      <c r="A67" s="567" t="s">
        <v>53</v>
      </c>
      <c r="B67" s="2">
        <v>1.4781379128646199E-2</v>
      </c>
      <c r="C67" s="2">
        <v>7.3346316860846807E-3</v>
      </c>
    </row>
    <row r="68" spans="1:3" x14ac:dyDescent="0.25">
      <c r="A68" s="567" t="s">
        <v>9</v>
      </c>
      <c r="B68" s="2">
        <v>3.4058449170270205E-2</v>
      </c>
      <c r="C68" s="2">
        <v>1.69480552504668E-2</v>
      </c>
    </row>
    <row r="69" spans="1:3" x14ac:dyDescent="0.25">
      <c r="A69" s="567" t="s">
        <v>10</v>
      </c>
      <c r="B69" s="2">
        <v>3.9598354342121701E-2</v>
      </c>
      <c r="C69" s="2">
        <v>3.4330033175620098E-2</v>
      </c>
    </row>
    <row r="70" spans="1:3" x14ac:dyDescent="0.25">
      <c r="A70" s="567" t="s">
        <v>54</v>
      </c>
      <c r="B70" s="2">
        <v>2.8032348750112498E-2</v>
      </c>
      <c r="C70" s="2">
        <v>1.9518015038694003E-2</v>
      </c>
    </row>
    <row r="71" spans="1:3" x14ac:dyDescent="0.25">
      <c r="A71" s="567" t="s">
        <v>38</v>
      </c>
      <c r="B71" s="2">
        <v>2.1542038315619402E-2</v>
      </c>
      <c r="C71" s="2">
        <v>6.4957530920944709E-2</v>
      </c>
    </row>
    <row r="72" spans="1:3" x14ac:dyDescent="0.25">
      <c r="A72" s="567" t="s">
        <v>40</v>
      </c>
      <c r="B72" s="2">
        <v>3.27719888824861E-2</v>
      </c>
      <c r="C72" s="2">
        <v>3.18481845898579E-2</v>
      </c>
    </row>
    <row r="73" spans="1:3" x14ac:dyDescent="0.25">
      <c r="A73" s="567" t="s">
        <v>21</v>
      </c>
      <c r="B73" s="2">
        <v>3.6459199259388203E-2</v>
      </c>
      <c r="C73" s="2">
        <v>4.9185767648676194E-2</v>
      </c>
    </row>
    <row r="74" spans="1:3" x14ac:dyDescent="0.25">
      <c r="A74" s="567" t="s">
        <v>55</v>
      </c>
      <c r="B74" s="2">
        <v>3.8047956402558099E-2</v>
      </c>
      <c r="C74" s="2">
        <v>4.4224562445514495E-2</v>
      </c>
    </row>
    <row r="75" spans="1:3" x14ac:dyDescent="0.25">
      <c r="A75" s="567" t="s">
        <v>56</v>
      </c>
      <c r="B75" s="2">
        <v>4.2521991492175198E-2</v>
      </c>
      <c r="C75" s="2">
        <v>4.0237762020035796E-2</v>
      </c>
    </row>
    <row r="76" spans="1:3" x14ac:dyDescent="0.25">
      <c r="A76" s="567" t="s">
        <v>11</v>
      </c>
      <c r="B76" s="2">
        <v>2.6481865303876799E-2</v>
      </c>
      <c r="C76" s="2">
        <v>2.13674505537946E-2</v>
      </c>
    </row>
    <row r="77" spans="1:3" x14ac:dyDescent="0.25">
      <c r="A77" s="567" t="s">
        <v>36</v>
      </c>
      <c r="B77" s="2">
        <v>3.8641591754274701E-2</v>
      </c>
      <c r="C77" s="2">
        <v>2.2990657773165602E-2</v>
      </c>
    </row>
    <row r="78" spans="1:3" ht="22.5" x14ac:dyDescent="0.25">
      <c r="A78" s="567" t="s">
        <v>57</v>
      </c>
      <c r="B78" s="2">
        <v>3.6037991242922097E-2</v>
      </c>
      <c r="C78" s="2">
        <v>3.55056145156269E-2</v>
      </c>
    </row>
    <row r="79" spans="1:3" x14ac:dyDescent="0.25">
      <c r="A79" s="567" t="s">
        <v>60</v>
      </c>
      <c r="B79" s="2">
        <v>2.0137565709328998E-2</v>
      </c>
      <c r="C79" s="2">
        <v>1.24341782410531E-2</v>
      </c>
    </row>
    <row r="80" spans="1:3" x14ac:dyDescent="0.25">
      <c r="A80" s="567" t="s">
        <v>496</v>
      </c>
      <c r="B80" s="2">
        <v>0</v>
      </c>
      <c r="C80" s="2">
        <v>0</v>
      </c>
    </row>
    <row r="81" spans="1:3" x14ac:dyDescent="0.25">
      <c r="A81" s="567" t="s">
        <v>58</v>
      </c>
      <c r="B81" s="2">
        <v>2.4545550986540099E-2</v>
      </c>
      <c r="C81" s="2">
        <v>1.6548338747266E-3</v>
      </c>
    </row>
    <row r="82" spans="1:3" ht="22.5" x14ac:dyDescent="0.25">
      <c r="A82" s="567" t="s">
        <v>69</v>
      </c>
      <c r="B82" s="2">
        <v>5.2465897166841602E-3</v>
      </c>
      <c r="C82" s="2">
        <v>0</v>
      </c>
    </row>
    <row r="83" spans="1:3" x14ac:dyDescent="0.25">
      <c r="A83" s="161" t="s">
        <v>0</v>
      </c>
    </row>
    <row r="84" spans="1:3" x14ac:dyDescent="0.25">
      <c r="A84" s="162"/>
    </row>
    <row r="85" spans="1:3" x14ac:dyDescent="0.25">
      <c r="A85" s="56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92D050"/>
  </sheetPr>
  <dimension ref="A1:B80"/>
  <sheetViews>
    <sheetView topLeftCell="A19" workbookViewId="0">
      <selection activeCell="A46" sqref="A46"/>
    </sheetView>
  </sheetViews>
  <sheetFormatPr defaultRowHeight="15" x14ac:dyDescent="0.25"/>
  <cols>
    <col min="1" max="1" width="19.85546875" style="160" customWidth="1"/>
    <col min="2" max="2" width="9.140625" style="160" customWidth="1"/>
  </cols>
  <sheetData>
    <row r="1" spans="1:2" x14ac:dyDescent="0.25">
      <c r="A1" s="1" t="s">
        <v>184</v>
      </c>
    </row>
    <row r="2" spans="1:2" x14ac:dyDescent="0.25">
      <c r="A2" s="161" t="s">
        <v>0</v>
      </c>
    </row>
    <row r="4" spans="1:2" x14ac:dyDescent="0.25">
      <c r="A4" s="161" t="s">
        <v>0</v>
      </c>
    </row>
    <row r="5" spans="1:2" ht="33.75" x14ac:dyDescent="0.25">
      <c r="A5" s="182" t="s">
        <v>74</v>
      </c>
      <c r="B5" s="569" t="s">
        <v>185</v>
      </c>
    </row>
    <row r="6" spans="1:2" x14ac:dyDescent="0.25">
      <c r="A6" s="567" t="s">
        <v>2</v>
      </c>
      <c r="B6" s="570">
        <v>2.66666666666667E-2</v>
      </c>
    </row>
    <row r="7" spans="1:2" ht="22.5" x14ac:dyDescent="0.25">
      <c r="A7" s="567" t="s">
        <v>4</v>
      </c>
      <c r="B7" s="570">
        <v>0</v>
      </c>
    </row>
    <row r="8" spans="1:2" ht="22.5" x14ac:dyDescent="0.25">
      <c r="A8" s="567" t="s">
        <v>6</v>
      </c>
      <c r="B8" s="570">
        <v>4.1435442101368798E-2</v>
      </c>
    </row>
    <row r="9" spans="1:2" x14ac:dyDescent="0.25">
      <c r="A9" s="567" t="s">
        <v>12</v>
      </c>
      <c r="B9" s="570">
        <v>2.6993251687078199E-2</v>
      </c>
    </row>
    <row r="10" spans="1:2" x14ac:dyDescent="0.25">
      <c r="A10" s="567" t="s">
        <v>280</v>
      </c>
      <c r="B10" s="570">
        <v>0</v>
      </c>
    </row>
    <row r="11" spans="1:2" x14ac:dyDescent="0.25">
      <c r="A11" s="567" t="s">
        <v>292</v>
      </c>
      <c r="B11" s="570">
        <v>0</v>
      </c>
    </row>
    <row r="12" spans="1:2" x14ac:dyDescent="0.25">
      <c r="A12" s="567" t="s">
        <v>22</v>
      </c>
      <c r="B12" s="570">
        <v>3.5417577612592899E-2</v>
      </c>
    </row>
    <row r="13" spans="1:2" x14ac:dyDescent="0.25">
      <c r="A13" s="567" t="s">
        <v>37</v>
      </c>
      <c r="B13" s="570">
        <v>4.7619047619047603E-2</v>
      </c>
    </row>
    <row r="14" spans="1:2" ht="22.5" x14ac:dyDescent="0.25">
      <c r="A14" s="567" t="s">
        <v>39</v>
      </c>
      <c r="B14" s="570">
        <v>8.4507042253521097E-2</v>
      </c>
    </row>
    <row r="15" spans="1:2" x14ac:dyDescent="0.25">
      <c r="A15" s="567" t="s">
        <v>41</v>
      </c>
      <c r="B15" s="570">
        <v>2.89229440966976E-2</v>
      </c>
    </row>
    <row r="16" spans="1:2" x14ac:dyDescent="0.25">
      <c r="A16" s="567" t="s">
        <v>59</v>
      </c>
      <c r="B16" s="570">
        <v>0.18181818181818199</v>
      </c>
    </row>
    <row r="17" spans="1:2" ht="22.5" x14ac:dyDescent="0.25">
      <c r="A17" s="567" t="s">
        <v>61</v>
      </c>
      <c r="B17" s="570">
        <v>2.58397932816537E-2</v>
      </c>
    </row>
    <row r="19" spans="1:2" ht="33.75" x14ac:dyDescent="0.25">
      <c r="A19" s="182" t="s">
        <v>73</v>
      </c>
      <c r="B19" s="569" t="s">
        <v>185</v>
      </c>
    </row>
    <row r="20" spans="1:2" ht="22.5" x14ac:dyDescent="0.25">
      <c r="A20" s="567" t="s">
        <v>23</v>
      </c>
      <c r="B20" s="570">
        <v>3.3402922755741103E-2</v>
      </c>
    </row>
    <row r="21" spans="1:2" ht="22.5" x14ac:dyDescent="0.25">
      <c r="A21" s="567" t="s">
        <v>62</v>
      </c>
      <c r="B21" s="570">
        <v>3.2362459546925598E-2</v>
      </c>
    </row>
    <row r="22" spans="1:2" x14ac:dyDescent="0.25">
      <c r="A22" s="567" t="s">
        <v>42</v>
      </c>
      <c r="B22" s="570">
        <v>1.0752688172042999E-2</v>
      </c>
    </row>
    <row r="23" spans="1:2" ht="22.5" x14ac:dyDescent="0.25">
      <c r="A23" s="567" t="s">
        <v>63</v>
      </c>
      <c r="B23" s="570">
        <v>2.4691358024691398E-2</v>
      </c>
    </row>
    <row r="24" spans="1:2" ht="22.5" x14ac:dyDescent="0.25">
      <c r="A24" s="567" t="s">
        <v>13</v>
      </c>
      <c r="B24" s="570">
        <v>1.6528925619834701E-2</v>
      </c>
    </row>
    <row r="25" spans="1:2" x14ac:dyDescent="0.25">
      <c r="A25" s="567" t="s">
        <v>3</v>
      </c>
      <c r="B25" s="570">
        <v>2.66666666666667E-2</v>
      </c>
    </row>
    <row r="26" spans="1:2" x14ac:dyDescent="0.25">
      <c r="A26" s="567" t="s">
        <v>24</v>
      </c>
      <c r="B26" s="570">
        <v>3.1914893617021302E-2</v>
      </c>
    </row>
    <row r="27" spans="1:2" ht="22.5" x14ac:dyDescent="0.25">
      <c r="A27" s="567" t="s">
        <v>43</v>
      </c>
      <c r="B27" s="570">
        <v>2.1943573667711599E-2</v>
      </c>
    </row>
    <row r="28" spans="1:2" x14ac:dyDescent="0.25">
      <c r="A28" s="567" t="s">
        <v>5</v>
      </c>
      <c r="B28" s="570">
        <v>0</v>
      </c>
    </row>
    <row r="29" spans="1:2" ht="22.5" x14ac:dyDescent="0.25">
      <c r="A29" s="567" t="s">
        <v>14</v>
      </c>
      <c r="B29" s="570">
        <v>4.2553191489361701E-2</v>
      </c>
    </row>
    <row r="30" spans="1:2" ht="33.75" x14ac:dyDescent="0.25">
      <c r="A30" s="567" t="s">
        <v>497</v>
      </c>
      <c r="B30" s="570">
        <v>0</v>
      </c>
    </row>
    <row r="31" spans="1:2" ht="22.5" x14ac:dyDescent="0.25">
      <c r="A31" s="567" t="s">
        <v>44</v>
      </c>
      <c r="B31" s="570">
        <v>5.29100529100529E-2</v>
      </c>
    </row>
    <row r="32" spans="1:2" ht="22.5" x14ac:dyDescent="0.25">
      <c r="A32" s="567" t="s">
        <v>64</v>
      </c>
      <c r="B32" s="570">
        <v>2.40963855421687E-2</v>
      </c>
    </row>
    <row r="33" spans="1:2" ht="22.5" x14ac:dyDescent="0.25">
      <c r="A33" s="567" t="s">
        <v>15</v>
      </c>
      <c r="B33" s="570">
        <v>5.4054054054054099E-2</v>
      </c>
    </row>
    <row r="34" spans="1:2" ht="22.5" x14ac:dyDescent="0.25">
      <c r="A34" s="567" t="s">
        <v>45</v>
      </c>
      <c r="B34" s="570">
        <v>2.8776978417266199E-2</v>
      </c>
    </row>
    <row r="35" spans="1:2" ht="22.5" x14ac:dyDescent="0.25">
      <c r="A35" s="567" t="s">
        <v>46</v>
      </c>
      <c r="B35" s="570">
        <v>4.5454545454545497E-2</v>
      </c>
    </row>
    <row r="36" spans="1:2" x14ac:dyDescent="0.25">
      <c r="A36" s="567" t="s">
        <v>47</v>
      </c>
      <c r="B36" s="570">
        <v>2.2988505747126398E-2</v>
      </c>
    </row>
    <row r="37" spans="1:2" ht="22.5" x14ac:dyDescent="0.25">
      <c r="A37" s="567" t="s">
        <v>25</v>
      </c>
      <c r="B37" s="570">
        <v>4.4444444444444398E-2</v>
      </c>
    </row>
    <row r="38" spans="1:2" ht="22.5" x14ac:dyDescent="0.25">
      <c r="A38" s="567" t="s">
        <v>16</v>
      </c>
      <c r="B38" s="570">
        <v>3.3898305084745797E-2</v>
      </c>
    </row>
    <row r="39" spans="1:2" ht="22.5" x14ac:dyDescent="0.25">
      <c r="A39" s="567" t="s">
        <v>17</v>
      </c>
      <c r="B39" s="570">
        <v>2.1052631578947399E-2</v>
      </c>
    </row>
    <row r="40" spans="1:2" ht="22.5" x14ac:dyDescent="0.25">
      <c r="A40" s="567" t="s">
        <v>48</v>
      </c>
      <c r="B40" s="570">
        <v>2.7777777777777801E-2</v>
      </c>
    </row>
    <row r="41" spans="1:2" ht="22.5" x14ac:dyDescent="0.25">
      <c r="A41" s="567" t="s">
        <v>26</v>
      </c>
      <c r="B41" s="570">
        <v>3.8338658146964903E-2</v>
      </c>
    </row>
    <row r="42" spans="1:2" x14ac:dyDescent="0.25">
      <c r="A42" s="567" t="s">
        <v>27</v>
      </c>
      <c r="B42" s="570">
        <v>9.0909090909090905E-3</v>
      </c>
    </row>
    <row r="43" spans="1:2" ht="22.5" x14ac:dyDescent="0.25">
      <c r="A43" s="567" t="s">
        <v>65</v>
      </c>
      <c r="B43" s="570">
        <v>2.02020202020202E-2</v>
      </c>
    </row>
    <row r="44" spans="1:2" ht="22.5" x14ac:dyDescent="0.25">
      <c r="A44" s="567" t="s">
        <v>28</v>
      </c>
      <c r="B44" s="570">
        <v>3.7383177570093497E-2</v>
      </c>
    </row>
    <row r="45" spans="1:2" ht="22.5" x14ac:dyDescent="0.25">
      <c r="A45" s="567" t="s">
        <v>49</v>
      </c>
      <c r="B45" s="570">
        <v>5.5335968379446598E-2</v>
      </c>
    </row>
    <row r="46" spans="1:2" ht="22.5" x14ac:dyDescent="0.25">
      <c r="A46" s="543" t="s">
        <v>66</v>
      </c>
      <c r="B46" s="570">
        <v>2.83018867924528E-2</v>
      </c>
    </row>
    <row r="47" spans="1:2" ht="22.5" x14ac:dyDescent="0.25">
      <c r="A47" s="567" t="s">
        <v>29</v>
      </c>
      <c r="B47" s="570">
        <v>2.83018867924528E-2</v>
      </c>
    </row>
    <row r="48" spans="1:2" ht="22.5" x14ac:dyDescent="0.25">
      <c r="A48" s="567" t="s">
        <v>7</v>
      </c>
      <c r="B48" s="570">
        <v>3.1319910514541402E-2</v>
      </c>
    </row>
    <row r="49" spans="1:2" ht="22.5" x14ac:dyDescent="0.25">
      <c r="A49" s="567" t="s">
        <v>30</v>
      </c>
      <c r="B49" s="570">
        <v>5.2998605299860502E-2</v>
      </c>
    </row>
    <row r="50" spans="1:2" x14ac:dyDescent="0.25">
      <c r="A50" s="567" t="s">
        <v>31</v>
      </c>
      <c r="B50" s="570">
        <v>6.9444444444444406E-2</v>
      </c>
    </row>
    <row r="51" spans="1:2" x14ac:dyDescent="0.25">
      <c r="A51" s="567" t="s">
        <v>281</v>
      </c>
      <c r="B51" s="570">
        <v>0</v>
      </c>
    </row>
    <row r="52" spans="1:2" x14ac:dyDescent="0.25">
      <c r="A52" s="567" t="s">
        <v>8</v>
      </c>
      <c r="B52" s="570">
        <v>3.7267080745341602E-2</v>
      </c>
    </row>
    <row r="53" spans="1:2" ht="22.5" x14ac:dyDescent="0.25">
      <c r="A53" s="567" t="s">
        <v>18</v>
      </c>
      <c r="B53" s="570">
        <v>9.3676814988290398E-3</v>
      </c>
    </row>
    <row r="54" spans="1:2" ht="22.5" x14ac:dyDescent="0.25">
      <c r="A54" s="567" t="s">
        <v>293</v>
      </c>
      <c r="B54" s="570">
        <v>0</v>
      </c>
    </row>
    <row r="55" spans="1:2" ht="22.5" x14ac:dyDescent="0.25">
      <c r="A55" s="567" t="s">
        <v>67</v>
      </c>
      <c r="B55" s="570">
        <v>2.48756218905473E-2</v>
      </c>
    </row>
    <row r="56" spans="1:2" ht="33.75" x14ac:dyDescent="0.25">
      <c r="A56" s="567" t="s">
        <v>32</v>
      </c>
      <c r="B56" s="570">
        <v>0</v>
      </c>
    </row>
    <row r="57" spans="1:2" x14ac:dyDescent="0.25">
      <c r="A57" s="567" t="s">
        <v>68</v>
      </c>
      <c r="B57" s="570">
        <v>2.2140221402214E-2</v>
      </c>
    </row>
    <row r="58" spans="1:2" ht="22.5" x14ac:dyDescent="0.25">
      <c r="A58" s="567" t="s">
        <v>33</v>
      </c>
      <c r="B58" s="570">
        <v>8.23045267489712E-3</v>
      </c>
    </row>
    <row r="59" spans="1:2" ht="22.5" x14ac:dyDescent="0.25">
      <c r="A59" s="567" t="s">
        <v>34</v>
      </c>
      <c r="B59" s="570">
        <v>2.8169014084507001E-2</v>
      </c>
    </row>
    <row r="60" spans="1:2" x14ac:dyDescent="0.25">
      <c r="A60" s="567" t="s">
        <v>50</v>
      </c>
      <c r="B60" s="570">
        <v>9.1324200913242004E-3</v>
      </c>
    </row>
    <row r="61" spans="1:2" ht="22.5" x14ac:dyDescent="0.25">
      <c r="A61" s="567" t="s">
        <v>19</v>
      </c>
      <c r="B61" s="570">
        <v>3.5087719298245598E-2</v>
      </c>
    </row>
    <row r="62" spans="1:2" ht="22.5" x14ac:dyDescent="0.25">
      <c r="A62" s="567" t="s">
        <v>51</v>
      </c>
      <c r="B62" s="570">
        <v>0</v>
      </c>
    </row>
    <row r="63" spans="1:2" ht="22.5" x14ac:dyDescent="0.25">
      <c r="A63" s="567" t="s">
        <v>35</v>
      </c>
      <c r="B63" s="570">
        <v>2.1390374331550801E-2</v>
      </c>
    </row>
    <row r="64" spans="1:2" ht="22.5" x14ac:dyDescent="0.25">
      <c r="A64" s="567" t="s">
        <v>20</v>
      </c>
      <c r="B64" s="570">
        <v>1.4035087719298201E-2</v>
      </c>
    </row>
    <row r="65" spans="1:2" ht="22.5" x14ac:dyDescent="0.25">
      <c r="A65" s="567" t="s">
        <v>52</v>
      </c>
      <c r="B65" s="570">
        <v>1.02040816326531E-2</v>
      </c>
    </row>
    <row r="66" spans="1:2" x14ac:dyDescent="0.25">
      <c r="A66" s="567" t="s">
        <v>53</v>
      </c>
      <c r="B66" s="570">
        <v>0.13636363636363599</v>
      </c>
    </row>
    <row r="67" spans="1:2" x14ac:dyDescent="0.25">
      <c r="A67" s="567" t="s">
        <v>9</v>
      </c>
      <c r="B67" s="570">
        <v>4.6511627906976799E-2</v>
      </c>
    </row>
    <row r="68" spans="1:2" x14ac:dyDescent="0.25">
      <c r="A68" s="567" t="s">
        <v>10</v>
      </c>
      <c r="B68" s="570">
        <v>4.3209876543209902E-2</v>
      </c>
    </row>
    <row r="69" spans="1:2" ht="22.5" x14ac:dyDescent="0.25">
      <c r="A69" s="567" t="s">
        <v>54</v>
      </c>
      <c r="B69" s="570">
        <v>8.1081081081081099E-2</v>
      </c>
    </row>
    <row r="70" spans="1:2" x14ac:dyDescent="0.25">
      <c r="A70" s="567" t="s">
        <v>38</v>
      </c>
      <c r="B70" s="570">
        <v>4.7619047619047603E-2</v>
      </c>
    </row>
    <row r="71" spans="1:2" ht="22.5" x14ac:dyDescent="0.25">
      <c r="A71" s="567" t="s">
        <v>40</v>
      </c>
      <c r="B71" s="570">
        <v>8.4507042253521097E-2</v>
      </c>
    </row>
    <row r="72" spans="1:2" x14ac:dyDescent="0.25">
      <c r="A72" s="567" t="s">
        <v>21</v>
      </c>
      <c r="B72" s="570">
        <v>3.3092037228541898E-2</v>
      </c>
    </row>
    <row r="73" spans="1:2" ht="22.5" x14ac:dyDescent="0.25">
      <c r="A73" s="567" t="s">
        <v>55</v>
      </c>
      <c r="B73" s="570">
        <v>0</v>
      </c>
    </row>
    <row r="74" spans="1:2" ht="22.5" x14ac:dyDescent="0.25">
      <c r="A74" s="567" t="s">
        <v>56</v>
      </c>
      <c r="B74" s="570">
        <v>1.8628281117696901E-2</v>
      </c>
    </row>
    <row r="75" spans="1:2" x14ac:dyDescent="0.25">
      <c r="A75" s="567" t="s">
        <v>11</v>
      </c>
      <c r="B75" s="570">
        <v>4.6715328467153303E-2</v>
      </c>
    </row>
    <row r="76" spans="1:2" ht="22.5" x14ac:dyDescent="0.25">
      <c r="A76" s="567" t="s">
        <v>36</v>
      </c>
      <c r="B76" s="570">
        <v>4.6153846153846198E-2</v>
      </c>
    </row>
    <row r="77" spans="1:2" ht="33.75" x14ac:dyDescent="0.25">
      <c r="A77" s="567" t="s">
        <v>57</v>
      </c>
      <c r="B77" s="570">
        <v>4.0650406504064998E-2</v>
      </c>
    </row>
    <row r="78" spans="1:2" x14ac:dyDescent="0.25">
      <c r="A78" s="567" t="s">
        <v>60</v>
      </c>
      <c r="B78" s="570">
        <v>0.18181818181818199</v>
      </c>
    </row>
    <row r="79" spans="1:2" x14ac:dyDescent="0.25">
      <c r="A79" s="567" t="s">
        <v>58</v>
      </c>
      <c r="B79" s="570">
        <v>3.7383177570093497E-2</v>
      </c>
    </row>
    <row r="80" spans="1:2" ht="33.75" x14ac:dyDescent="0.25">
      <c r="A80" s="567" t="s">
        <v>69</v>
      </c>
      <c r="B80" s="570">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92D050"/>
  </sheetPr>
  <dimension ref="A1:I78"/>
  <sheetViews>
    <sheetView topLeftCell="A34" workbookViewId="0">
      <selection activeCell="A44" sqref="A44"/>
    </sheetView>
  </sheetViews>
  <sheetFormatPr defaultRowHeight="15" x14ac:dyDescent="0.25"/>
  <cols>
    <col min="1" max="1" width="19.85546875" style="160" customWidth="1"/>
    <col min="2" max="2" width="9.140625" style="160" customWidth="1"/>
    <col min="3" max="3" width="8.85546875" style="160" customWidth="1"/>
    <col min="4" max="4" width="9.140625" style="160" customWidth="1"/>
    <col min="5" max="5" width="7.5703125" style="160" customWidth="1"/>
    <col min="6" max="6" width="9.140625" style="160" customWidth="1"/>
    <col min="7" max="7" width="7" style="160" customWidth="1"/>
    <col min="8" max="8" width="9.140625" style="160" customWidth="1"/>
    <col min="9" max="9" width="7.28515625" style="160" customWidth="1"/>
  </cols>
  <sheetData>
    <row r="1" spans="1:9" x14ac:dyDescent="0.25">
      <c r="A1" s="1" t="s">
        <v>184</v>
      </c>
    </row>
    <row r="2" spans="1:9" x14ac:dyDescent="0.25">
      <c r="A2" s="161" t="s">
        <v>0</v>
      </c>
    </row>
    <row r="3" spans="1:9" s="160" customFormat="1" ht="33.75" x14ac:dyDescent="0.25">
      <c r="A3" s="182" t="s">
        <v>74</v>
      </c>
      <c r="B3" s="569" t="s">
        <v>319</v>
      </c>
      <c r="C3" s="569" t="s">
        <v>320</v>
      </c>
      <c r="D3" s="569" t="s">
        <v>321</v>
      </c>
      <c r="E3" s="569" t="s">
        <v>322</v>
      </c>
      <c r="F3" s="569" t="s">
        <v>323</v>
      </c>
      <c r="G3" s="569" t="s">
        <v>324</v>
      </c>
      <c r="H3" s="569" t="s">
        <v>185</v>
      </c>
      <c r="I3" s="164" t="s">
        <v>325</v>
      </c>
    </row>
    <row r="4" spans="1:9" s="160" customFormat="1" x14ac:dyDescent="0.25">
      <c r="A4" s="567" t="s">
        <v>2</v>
      </c>
      <c r="B4" s="571">
        <v>37.5</v>
      </c>
      <c r="C4" s="572">
        <v>36.4</v>
      </c>
      <c r="D4" s="573">
        <v>0</v>
      </c>
      <c r="E4" s="574">
        <v>0</v>
      </c>
      <c r="F4" s="573">
        <v>1</v>
      </c>
      <c r="G4" s="574">
        <v>1</v>
      </c>
      <c r="H4" s="570">
        <v>2.66666666666667E-2</v>
      </c>
      <c r="I4" s="575">
        <v>2.74725274725275E-2</v>
      </c>
    </row>
    <row r="5" spans="1:9" s="160" customFormat="1" ht="22.5" x14ac:dyDescent="0.25">
      <c r="A5" s="567" t="s">
        <v>4</v>
      </c>
      <c r="B5" s="571">
        <v>3</v>
      </c>
      <c r="C5" s="572">
        <v>3.4</v>
      </c>
      <c r="D5" s="573">
        <v>0</v>
      </c>
      <c r="E5" s="574">
        <v>0</v>
      </c>
      <c r="F5" s="573">
        <v>0</v>
      </c>
      <c r="G5" s="574">
        <v>0</v>
      </c>
      <c r="H5" s="570">
        <v>0</v>
      </c>
      <c r="I5" s="575">
        <v>0</v>
      </c>
    </row>
    <row r="6" spans="1:9" s="160" customFormat="1" ht="22.5" x14ac:dyDescent="0.25">
      <c r="A6" s="567" t="s">
        <v>6</v>
      </c>
      <c r="B6" s="571">
        <v>1351.5</v>
      </c>
      <c r="C6" s="572">
        <v>1188.6721500000001</v>
      </c>
      <c r="D6" s="573">
        <v>70</v>
      </c>
      <c r="E6" s="574">
        <v>65.304140000000004</v>
      </c>
      <c r="F6" s="573">
        <v>56</v>
      </c>
      <c r="G6" s="574">
        <v>48.87153</v>
      </c>
      <c r="H6" s="570">
        <v>4.1435442101368798E-2</v>
      </c>
      <c r="I6" s="575">
        <v>4.1114389699464203E-2</v>
      </c>
    </row>
    <row r="7" spans="1:9" s="160" customFormat="1" x14ac:dyDescent="0.25">
      <c r="A7" s="567" t="s">
        <v>12</v>
      </c>
      <c r="B7" s="571">
        <v>2000.5</v>
      </c>
      <c r="C7" s="572">
        <v>1699.97389</v>
      </c>
      <c r="D7" s="573">
        <v>75</v>
      </c>
      <c r="E7" s="574">
        <v>61.93329</v>
      </c>
      <c r="F7" s="573">
        <v>54</v>
      </c>
      <c r="G7" s="574">
        <v>40.473309999999998</v>
      </c>
      <c r="H7" s="570">
        <v>2.6993251687078199E-2</v>
      </c>
      <c r="I7" s="575">
        <v>2.3808195077631499E-2</v>
      </c>
    </row>
    <row r="8" spans="1:9" s="160" customFormat="1" x14ac:dyDescent="0.25">
      <c r="A8" s="567" t="s">
        <v>280</v>
      </c>
      <c r="B8" s="571">
        <v>5</v>
      </c>
      <c r="C8" s="572">
        <v>5</v>
      </c>
      <c r="D8" s="573">
        <v>2</v>
      </c>
      <c r="E8" s="574">
        <v>2</v>
      </c>
      <c r="F8" s="573">
        <v>0</v>
      </c>
      <c r="G8" s="574">
        <v>0</v>
      </c>
      <c r="H8" s="570">
        <v>0</v>
      </c>
      <c r="I8" s="575">
        <v>0</v>
      </c>
    </row>
    <row r="9" spans="1:9" s="160" customFormat="1" x14ac:dyDescent="0.25">
      <c r="A9" s="567" t="s">
        <v>292</v>
      </c>
      <c r="B9" s="571">
        <v>8</v>
      </c>
      <c r="C9" s="572">
        <v>8</v>
      </c>
      <c r="D9" s="573">
        <v>0</v>
      </c>
      <c r="E9" s="574">
        <v>0</v>
      </c>
      <c r="F9" s="573">
        <v>0</v>
      </c>
      <c r="G9" s="574">
        <v>0</v>
      </c>
      <c r="H9" s="570">
        <v>0</v>
      </c>
      <c r="I9" s="575">
        <v>0</v>
      </c>
    </row>
    <row r="10" spans="1:9" s="160" customFormat="1" x14ac:dyDescent="0.25">
      <c r="A10" s="567" t="s">
        <v>22</v>
      </c>
      <c r="B10" s="571">
        <v>2287</v>
      </c>
      <c r="C10" s="572">
        <v>2001.4088099999999</v>
      </c>
      <c r="D10" s="573">
        <v>131</v>
      </c>
      <c r="E10" s="574">
        <v>120.84931</v>
      </c>
      <c r="F10" s="573">
        <v>81</v>
      </c>
      <c r="G10" s="574">
        <v>67.233980000000003</v>
      </c>
      <c r="H10" s="570">
        <v>3.5417577612592899E-2</v>
      </c>
      <c r="I10" s="575">
        <v>3.3593326692710999E-2</v>
      </c>
    </row>
    <row r="11" spans="1:9" s="160" customFormat="1" x14ac:dyDescent="0.25">
      <c r="A11" s="567" t="s">
        <v>37</v>
      </c>
      <c r="B11" s="571">
        <v>21</v>
      </c>
      <c r="C11" s="572">
        <v>19.906669999999998</v>
      </c>
      <c r="D11" s="573">
        <v>2</v>
      </c>
      <c r="E11" s="574">
        <v>2</v>
      </c>
      <c r="F11" s="573">
        <v>1</v>
      </c>
      <c r="G11" s="574">
        <v>1</v>
      </c>
      <c r="H11" s="570">
        <v>4.7619047619047603E-2</v>
      </c>
      <c r="I11" s="575">
        <v>5.0234418915870903E-2</v>
      </c>
    </row>
    <row r="12" spans="1:9" s="160" customFormat="1" ht="22.5" x14ac:dyDescent="0.25">
      <c r="A12" s="567" t="s">
        <v>39</v>
      </c>
      <c r="B12" s="571">
        <v>106.5</v>
      </c>
      <c r="C12" s="572">
        <v>99.534670000000006</v>
      </c>
      <c r="D12" s="573">
        <v>2</v>
      </c>
      <c r="E12" s="574">
        <v>2</v>
      </c>
      <c r="F12" s="573">
        <v>9</v>
      </c>
      <c r="G12" s="574">
        <v>8.1866699999999994</v>
      </c>
      <c r="H12" s="570">
        <v>8.4507042253521097E-2</v>
      </c>
      <c r="I12" s="575">
        <v>8.2249431278568597E-2</v>
      </c>
    </row>
    <row r="13" spans="1:9" x14ac:dyDescent="0.25">
      <c r="A13" s="567" t="s">
        <v>41</v>
      </c>
      <c r="B13" s="571">
        <v>2316.5</v>
      </c>
      <c r="C13" s="572">
        <v>2048.1522450000002</v>
      </c>
      <c r="D13" s="573">
        <v>97</v>
      </c>
      <c r="E13" s="574">
        <v>85.953329999999994</v>
      </c>
      <c r="F13" s="573">
        <v>67</v>
      </c>
      <c r="G13" s="574">
        <v>54.023330000000001</v>
      </c>
      <c r="H13" s="570">
        <v>2.89229440966976E-2</v>
      </c>
      <c r="I13" s="575">
        <v>2.6376618306516601E-2</v>
      </c>
    </row>
    <row r="14" spans="1:9" x14ac:dyDescent="0.25">
      <c r="A14" s="567" t="s">
        <v>59</v>
      </c>
      <c r="B14" s="571">
        <v>5.5</v>
      </c>
      <c r="C14" s="572">
        <v>3.66</v>
      </c>
      <c r="D14" s="573">
        <v>0</v>
      </c>
      <c r="E14" s="574">
        <v>0</v>
      </c>
      <c r="F14" s="573">
        <v>1</v>
      </c>
      <c r="G14" s="574">
        <v>0.21332999999999999</v>
      </c>
      <c r="H14" s="570">
        <v>0.18181818181818199</v>
      </c>
      <c r="I14" s="575">
        <v>5.8286885245901601E-2</v>
      </c>
    </row>
    <row r="15" spans="1:9" ht="22.5" x14ac:dyDescent="0.25">
      <c r="A15" s="567" t="s">
        <v>61</v>
      </c>
      <c r="B15" s="571">
        <v>774</v>
      </c>
      <c r="C15" s="572">
        <v>646.99890500000004</v>
      </c>
      <c r="D15" s="573">
        <v>37</v>
      </c>
      <c r="E15" s="574">
        <v>31.390129999999999</v>
      </c>
      <c r="F15" s="573">
        <v>20</v>
      </c>
      <c r="G15" s="574">
        <v>16.069870000000002</v>
      </c>
      <c r="H15" s="570">
        <v>2.58397932816537E-2</v>
      </c>
      <c r="I15" s="575">
        <v>2.4837553627698902E-2</v>
      </c>
    </row>
    <row r="17" spans="1:9" ht="33.75" x14ac:dyDescent="0.25">
      <c r="A17" s="182" t="s">
        <v>73</v>
      </c>
      <c r="B17" s="569" t="s">
        <v>319</v>
      </c>
      <c r="C17" s="569" t="s">
        <v>320</v>
      </c>
      <c r="D17" s="569" t="s">
        <v>321</v>
      </c>
      <c r="E17" s="569" t="s">
        <v>322</v>
      </c>
      <c r="F17" s="569" t="s">
        <v>323</v>
      </c>
      <c r="G17" s="569" t="s">
        <v>324</v>
      </c>
      <c r="H17" s="569" t="s">
        <v>185</v>
      </c>
      <c r="I17" s="164" t="s">
        <v>325</v>
      </c>
    </row>
    <row r="18" spans="1:9" ht="22.5" x14ac:dyDescent="0.25">
      <c r="A18" s="567" t="s">
        <v>23</v>
      </c>
      <c r="B18" s="571">
        <v>239.5</v>
      </c>
      <c r="C18" s="572">
        <v>204.62128000000001</v>
      </c>
      <c r="D18" s="573">
        <v>18</v>
      </c>
      <c r="E18" s="574">
        <v>17.293330000000001</v>
      </c>
      <c r="F18" s="573">
        <v>8</v>
      </c>
      <c r="G18" s="574">
        <v>6.7166699999999997</v>
      </c>
      <c r="H18" s="570">
        <v>3.3402922755741103E-2</v>
      </c>
      <c r="I18" s="575">
        <v>3.2824885075491701E-2</v>
      </c>
    </row>
    <row r="19" spans="1:9" ht="22.5" x14ac:dyDescent="0.25">
      <c r="A19" s="567" t="s">
        <v>62</v>
      </c>
      <c r="B19" s="571">
        <v>154.5</v>
      </c>
      <c r="C19" s="572">
        <v>132.936725</v>
      </c>
      <c r="D19" s="573">
        <v>10</v>
      </c>
      <c r="E19" s="574">
        <v>8.65334</v>
      </c>
      <c r="F19" s="573">
        <v>5</v>
      </c>
      <c r="G19" s="574">
        <v>4.7666700000000004</v>
      </c>
      <c r="H19" s="570">
        <v>3.2362459546925598E-2</v>
      </c>
      <c r="I19" s="575">
        <v>3.5856682944461003E-2</v>
      </c>
    </row>
    <row r="20" spans="1:9" x14ac:dyDescent="0.25">
      <c r="A20" s="567" t="s">
        <v>42</v>
      </c>
      <c r="B20" s="571">
        <v>93</v>
      </c>
      <c r="C20" s="572">
        <v>86.507729999999995</v>
      </c>
      <c r="D20" s="573">
        <v>2</v>
      </c>
      <c r="E20" s="574">
        <v>1.38</v>
      </c>
      <c r="F20" s="573">
        <v>1</v>
      </c>
      <c r="G20" s="574">
        <v>0.83</v>
      </c>
      <c r="H20" s="570">
        <v>1.0752688172042999E-2</v>
      </c>
      <c r="I20" s="575">
        <v>9.5945183164556497E-3</v>
      </c>
    </row>
    <row r="21" spans="1:9" ht="22.5" x14ac:dyDescent="0.25">
      <c r="A21" s="567" t="s">
        <v>63</v>
      </c>
      <c r="B21" s="571">
        <v>40.5</v>
      </c>
      <c r="C21" s="572">
        <v>34.549995000000003</v>
      </c>
      <c r="D21" s="573">
        <v>0</v>
      </c>
      <c r="E21" s="574">
        <v>0</v>
      </c>
      <c r="F21" s="573">
        <v>1</v>
      </c>
      <c r="G21" s="574">
        <v>0.4</v>
      </c>
      <c r="H21" s="570">
        <v>2.4691358024691398E-2</v>
      </c>
      <c r="I21" s="575">
        <v>1.15774256986144E-2</v>
      </c>
    </row>
    <row r="22" spans="1:9" ht="22.5" x14ac:dyDescent="0.25">
      <c r="A22" s="567" t="s">
        <v>13</v>
      </c>
      <c r="B22" s="571">
        <v>60.5</v>
      </c>
      <c r="C22" s="572">
        <v>49.196680000000001</v>
      </c>
      <c r="D22" s="573">
        <v>0</v>
      </c>
      <c r="E22" s="574">
        <v>0</v>
      </c>
      <c r="F22" s="573">
        <v>1</v>
      </c>
      <c r="G22" s="574">
        <v>0.6</v>
      </c>
      <c r="H22" s="570">
        <v>1.6528925619834701E-2</v>
      </c>
      <c r="I22" s="575">
        <v>1.2195944929617199E-2</v>
      </c>
    </row>
    <row r="23" spans="1:9" x14ac:dyDescent="0.25">
      <c r="A23" s="567" t="s">
        <v>3</v>
      </c>
      <c r="B23" s="571">
        <v>37.5</v>
      </c>
      <c r="C23" s="572">
        <v>36.4</v>
      </c>
      <c r="D23" s="573">
        <v>0</v>
      </c>
      <c r="E23" s="574">
        <v>0</v>
      </c>
      <c r="F23" s="573">
        <v>1</v>
      </c>
      <c r="G23" s="574">
        <v>1</v>
      </c>
      <c r="H23" s="570">
        <v>2.66666666666667E-2</v>
      </c>
      <c r="I23" s="575">
        <v>2.74725274725275E-2</v>
      </c>
    </row>
    <row r="24" spans="1:9" x14ac:dyDescent="0.25">
      <c r="A24" s="567" t="s">
        <v>24</v>
      </c>
      <c r="B24" s="571">
        <v>188</v>
      </c>
      <c r="C24" s="572">
        <v>167.342995</v>
      </c>
      <c r="D24" s="573">
        <v>5</v>
      </c>
      <c r="E24" s="574">
        <v>4.5333300000000003</v>
      </c>
      <c r="F24" s="573">
        <v>6</v>
      </c>
      <c r="G24" s="574">
        <v>4.82667</v>
      </c>
      <c r="H24" s="570">
        <v>3.1914893617021302E-2</v>
      </c>
      <c r="I24" s="575">
        <v>2.8842976068403699E-2</v>
      </c>
    </row>
    <row r="25" spans="1:9" ht="22.5" x14ac:dyDescent="0.25">
      <c r="A25" s="567" t="s">
        <v>43</v>
      </c>
      <c r="B25" s="571">
        <v>319</v>
      </c>
      <c r="C25" s="572">
        <v>291.29962499999999</v>
      </c>
      <c r="D25" s="573">
        <v>7</v>
      </c>
      <c r="E25" s="574">
        <v>7</v>
      </c>
      <c r="F25" s="573">
        <v>7</v>
      </c>
      <c r="G25" s="574">
        <v>5.84</v>
      </c>
      <c r="H25" s="570">
        <v>2.1943573667711599E-2</v>
      </c>
      <c r="I25" s="575">
        <v>2.00480862273681E-2</v>
      </c>
    </row>
    <row r="26" spans="1:9" x14ac:dyDescent="0.25">
      <c r="A26" s="567" t="s">
        <v>5</v>
      </c>
      <c r="B26" s="571">
        <v>3</v>
      </c>
      <c r="C26" s="572">
        <v>3.4</v>
      </c>
      <c r="D26" s="573">
        <v>0</v>
      </c>
      <c r="E26" s="574">
        <v>0</v>
      </c>
      <c r="F26" s="573">
        <v>0</v>
      </c>
      <c r="G26" s="574">
        <v>0</v>
      </c>
      <c r="H26" s="570">
        <v>0</v>
      </c>
      <c r="I26" s="575">
        <v>0</v>
      </c>
    </row>
    <row r="27" spans="1:9" ht="22.5" x14ac:dyDescent="0.25">
      <c r="A27" s="567" t="s">
        <v>14</v>
      </c>
      <c r="B27" s="571">
        <v>23.5</v>
      </c>
      <c r="C27" s="572">
        <v>21.273340000000001</v>
      </c>
      <c r="D27" s="573">
        <v>1</v>
      </c>
      <c r="E27" s="574">
        <v>0.6</v>
      </c>
      <c r="F27" s="573">
        <v>1</v>
      </c>
      <c r="G27" s="574">
        <v>1</v>
      </c>
      <c r="H27" s="570">
        <v>4.2553191489361701E-2</v>
      </c>
      <c r="I27" s="575">
        <v>4.7007193040679102E-2</v>
      </c>
    </row>
    <row r="28" spans="1:9" ht="33.75" x14ac:dyDescent="0.25">
      <c r="A28" s="567" t="s">
        <v>497</v>
      </c>
      <c r="B28" s="571">
        <v>0.5</v>
      </c>
      <c r="C28" s="572">
        <v>0.5</v>
      </c>
      <c r="D28" s="573">
        <v>0</v>
      </c>
      <c r="E28" s="574">
        <v>0</v>
      </c>
      <c r="F28" s="573">
        <v>0</v>
      </c>
      <c r="G28" s="574">
        <v>0</v>
      </c>
      <c r="H28" s="570">
        <v>0</v>
      </c>
      <c r="I28" s="575">
        <v>0</v>
      </c>
    </row>
    <row r="29" spans="1:9" ht="22.5" x14ac:dyDescent="0.25">
      <c r="A29" s="567" t="s">
        <v>44</v>
      </c>
      <c r="B29" s="571">
        <v>94.5</v>
      </c>
      <c r="C29" s="572">
        <v>84.253320000000002</v>
      </c>
      <c r="D29" s="573">
        <v>4</v>
      </c>
      <c r="E29" s="574">
        <v>3.6133299999999999</v>
      </c>
      <c r="F29" s="573">
        <v>5</v>
      </c>
      <c r="G29" s="574">
        <v>4.76</v>
      </c>
      <c r="H29" s="570">
        <v>5.29100529100529E-2</v>
      </c>
      <c r="I29" s="575">
        <v>5.64962899978304E-2</v>
      </c>
    </row>
    <row r="30" spans="1:9" ht="22.5" x14ac:dyDescent="0.25">
      <c r="A30" s="567" t="s">
        <v>64</v>
      </c>
      <c r="B30" s="571">
        <v>83</v>
      </c>
      <c r="C30" s="572">
        <v>67.598560000000006</v>
      </c>
      <c r="D30" s="573">
        <v>2</v>
      </c>
      <c r="E30" s="574">
        <v>1.88</v>
      </c>
      <c r="F30" s="573">
        <v>2</v>
      </c>
      <c r="G30" s="574">
        <v>1.3431999999999999</v>
      </c>
      <c r="H30" s="570">
        <v>2.40963855421687E-2</v>
      </c>
      <c r="I30" s="575">
        <v>1.9870245756714301E-2</v>
      </c>
    </row>
    <row r="31" spans="1:9" ht="22.5" x14ac:dyDescent="0.25">
      <c r="A31" s="567" t="s">
        <v>15</v>
      </c>
      <c r="B31" s="571">
        <v>18.5</v>
      </c>
      <c r="C31" s="572">
        <v>17.406669999999998</v>
      </c>
      <c r="D31" s="573">
        <v>3</v>
      </c>
      <c r="E31" s="574">
        <v>3</v>
      </c>
      <c r="F31" s="573">
        <v>1</v>
      </c>
      <c r="G31" s="574">
        <v>1</v>
      </c>
      <c r="H31" s="570">
        <v>5.4054054054054099E-2</v>
      </c>
      <c r="I31" s="575">
        <v>5.7449242158322103E-2</v>
      </c>
    </row>
    <row r="32" spans="1:9" ht="22.5" x14ac:dyDescent="0.25">
      <c r="A32" s="567" t="s">
        <v>45</v>
      </c>
      <c r="B32" s="571">
        <v>278</v>
      </c>
      <c r="C32" s="572">
        <v>244.79304500000001</v>
      </c>
      <c r="D32" s="573">
        <v>9</v>
      </c>
      <c r="E32" s="574">
        <v>7.6799900000000001</v>
      </c>
      <c r="F32" s="573">
        <v>8</v>
      </c>
      <c r="G32" s="574">
        <v>5.7133399999999996</v>
      </c>
      <c r="H32" s="570">
        <v>2.8776978417266199E-2</v>
      </c>
      <c r="I32" s="575">
        <v>2.3339470286012399E-2</v>
      </c>
    </row>
    <row r="33" spans="1:9" ht="22.5" x14ac:dyDescent="0.25">
      <c r="A33" s="567" t="s">
        <v>46</v>
      </c>
      <c r="B33" s="571">
        <v>44</v>
      </c>
      <c r="C33" s="572">
        <v>33.695410000000003</v>
      </c>
      <c r="D33" s="573">
        <v>2</v>
      </c>
      <c r="E33" s="574">
        <v>1.4</v>
      </c>
      <c r="F33" s="573">
        <v>2</v>
      </c>
      <c r="G33" s="574">
        <v>1.6</v>
      </c>
      <c r="H33" s="570">
        <v>4.5454545454545497E-2</v>
      </c>
      <c r="I33" s="575">
        <v>4.7484212241370602E-2</v>
      </c>
    </row>
    <row r="34" spans="1:9" x14ac:dyDescent="0.25">
      <c r="A34" s="567" t="s">
        <v>47</v>
      </c>
      <c r="B34" s="571">
        <v>43.5</v>
      </c>
      <c r="C34" s="572">
        <v>39.923340000000003</v>
      </c>
      <c r="D34" s="573">
        <v>2</v>
      </c>
      <c r="E34" s="574">
        <v>1.50667</v>
      </c>
      <c r="F34" s="573">
        <v>1</v>
      </c>
      <c r="G34" s="574">
        <v>0.48</v>
      </c>
      <c r="H34" s="570">
        <v>2.2988505747126398E-2</v>
      </c>
      <c r="I34" s="575">
        <v>1.20230421603002E-2</v>
      </c>
    </row>
    <row r="35" spans="1:9" ht="22.5" x14ac:dyDescent="0.25">
      <c r="A35" s="567" t="s">
        <v>25</v>
      </c>
      <c r="B35" s="571">
        <v>45</v>
      </c>
      <c r="C35" s="572">
        <v>35.254800000000003</v>
      </c>
      <c r="D35" s="573">
        <v>0</v>
      </c>
      <c r="E35" s="574">
        <v>0</v>
      </c>
      <c r="F35" s="573">
        <v>2</v>
      </c>
      <c r="G35" s="574">
        <v>1.26667</v>
      </c>
      <c r="H35" s="570">
        <v>4.4444444444444398E-2</v>
      </c>
      <c r="I35" s="575">
        <v>3.5929008248522201E-2</v>
      </c>
    </row>
    <row r="36" spans="1:9" ht="22.5" x14ac:dyDescent="0.25">
      <c r="A36" s="567" t="s">
        <v>16</v>
      </c>
      <c r="B36" s="571">
        <v>147.5</v>
      </c>
      <c r="C36" s="572">
        <v>138.26666</v>
      </c>
      <c r="D36" s="573">
        <v>3</v>
      </c>
      <c r="E36" s="574">
        <v>2.6</v>
      </c>
      <c r="F36" s="573">
        <v>5</v>
      </c>
      <c r="G36" s="574">
        <v>5</v>
      </c>
      <c r="H36" s="570">
        <v>3.3898305084745797E-2</v>
      </c>
      <c r="I36" s="575">
        <v>3.61620075295086E-2</v>
      </c>
    </row>
    <row r="37" spans="1:9" ht="22.5" x14ac:dyDescent="0.25">
      <c r="A37" s="567" t="s">
        <v>17</v>
      </c>
      <c r="B37" s="571">
        <v>142.5</v>
      </c>
      <c r="C37" s="572">
        <v>123.288415</v>
      </c>
      <c r="D37" s="573">
        <v>4</v>
      </c>
      <c r="E37" s="574">
        <v>3.8</v>
      </c>
      <c r="F37" s="573">
        <v>3</v>
      </c>
      <c r="G37" s="574">
        <v>2.2000000000000002</v>
      </c>
      <c r="H37" s="570">
        <v>2.1052631578947399E-2</v>
      </c>
      <c r="I37" s="575">
        <v>1.7844336793526001E-2</v>
      </c>
    </row>
    <row r="38" spans="1:9" ht="22.5" x14ac:dyDescent="0.25">
      <c r="A38" s="567" t="s">
        <v>48</v>
      </c>
      <c r="B38" s="571">
        <v>72</v>
      </c>
      <c r="C38" s="572">
        <v>58.243335000000002</v>
      </c>
      <c r="D38" s="573">
        <v>4</v>
      </c>
      <c r="E38" s="574">
        <v>2.9866700000000002</v>
      </c>
      <c r="F38" s="573">
        <v>2</v>
      </c>
      <c r="G38" s="574">
        <v>1.6133299999999999</v>
      </c>
      <c r="H38" s="570">
        <v>2.7777777777777801E-2</v>
      </c>
      <c r="I38" s="575">
        <v>2.7699821790767999E-2</v>
      </c>
    </row>
    <row r="39" spans="1:9" ht="22.5" x14ac:dyDescent="0.25">
      <c r="A39" s="567" t="s">
        <v>26</v>
      </c>
      <c r="B39" s="571">
        <v>313</v>
      </c>
      <c r="C39" s="572">
        <v>276.38657999999998</v>
      </c>
      <c r="D39" s="573">
        <v>12</v>
      </c>
      <c r="E39" s="574">
        <v>11.373329999999999</v>
      </c>
      <c r="F39" s="573">
        <v>12</v>
      </c>
      <c r="G39" s="574">
        <v>9.7199899999999992</v>
      </c>
      <c r="H39" s="570">
        <v>3.8338658146964903E-2</v>
      </c>
      <c r="I39" s="575">
        <v>3.5168096801226699E-2</v>
      </c>
    </row>
    <row r="40" spans="1:9" x14ac:dyDescent="0.25">
      <c r="A40" s="567" t="s">
        <v>27</v>
      </c>
      <c r="B40" s="571">
        <v>110</v>
      </c>
      <c r="C40" s="572">
        <v>96.880025000000003</v>
      </c>
      <c r="D40" s="573">
        <v>2</v>
      </c>
      <c r="E40" s="574">
        <v>1.8</v>
      </c>
      <c r="F40" s="573">
        <v>1</v>
      </c>
      <c r="G40" s="574">
        <v>1</v>
      </c>
      <c r="H40" s="570">
        <v>9.0909090909090905E-3</v>
      </c>
      <c r="I40" s="575">
        <v>1.0322045230686101E-2</v>
      </c>
    </row>
    <row r="41" spans="1:9" ht="22.5" x14ac:dyDescent="0.25">
      <c r="A41" s="567" t="s">
        <v>65</v>
      </c>
      <c r="B41" s="571">
        <v>49.5</v>
      </c>
      <c r="C41" s="572">
        <v>39.083345000000001</v>
      </c>
      <c r="D41" s="573">
        <v>0</v>
      </c>
      <c r="E41" s="574">
        <v>0</v>
      </c>
      <c r="F41" s="573">
        <v>1</v>
      </c>
      <c r="G41" s="574">
        <v>0.42666999999999999</v>
      </c>
      <c r="H41" s="570">
        <v>2.02020202020202E-2</v>
      </c>
      <c r="I41" s="575">
        <v>1.0916926378742701E-2</v>
      </c>
    </row>
    <row r="42" spans="1:9" ht="22.5" x14ac:dyDescent="0.25">
      <c r="A42" s="567" t="s">
        <v>28</v>
      </c>
      <c r="B42" s="571">
        <v>160.5</v>
      </c>
      <c r="C42" s="572">
        <v>142.086645</v>
      </c>
      <c r="D42" s="573">
        <v>17</v>
      </c>
      <c r="E42" s="574">
        <v>14.4</v>
      </c>
      <c r="F42" s="573">
        <v>6</v>
      </c>
      <c r="G42" s="574">
        <v>4.61334</v>
      </c>
      <c r="H42" s="570">
        <v>3.7383177570093497E-2</v>
      </c>
      <c r="I42" s="575">
        <v>3.2468498358871098E-2</v>
      </c>
    </row>
    <row r="43" spans="1:9" ht="22.5" x14ac:dyDescent="0.25">
      <c r="A43" s="567" t="s">
        <v>49</v>
      </c>
      <c r="B43" s="571">
        <v>126.5</v>
      </c>
      <c r="C43" s="572">
        <v>114.18232500000001</v>
      </c>
      <c r="D43" s="573">
        <v>10</v>
      </c>
      <c r="E43" s="574">
        <v>9.6133299999999995</v>
      </c>
      <c r="F43" s="573">
        <v>7</v>
      </c>
      <c r="G43" s="574">
        <v>6.1466599999999998</v>
      </c>
      <c r="H43" s="570">
        <v>5.5335968379446598E-2</v>
      </c>
      <c r="I43" s="575">
        <v>5.38319744321199E-2</v>
      </c>
    </row>
    <row r="44" spans="1:9" ht="22.5" x14ac:dyDescent="0.25">
      <c r="A44" s="543" t="s">
        <v>66</v>
      </c>
      <c r="B44" s="571">
        <v>106</v>
      </c>
      <c r="C44" s="572">
        <v>89.072680000000005</v>
      </c>
      <c r="D44" s="573">
        <v>1</v>
      </c>
      <c r="E44" s="574">
        <v>1</v>
      </c>
      <c r="F44" s="573">
        <v>3</v>
      </c>
      <c r="G44" s="574">
        <v>2.4266700000000001</v>
      </c>
      <c r="H44" s="570">
        <v>2.83018867924528E-2</v>
      </c>
      <c r="I44" s="575">
        <v>2.7243707049119902E-2</v>
      </c>
    </row>
    <row r="45" spans="1:9" ht="22.5" x14ac:dyDescent="0.25">
      <c r="A45" s="567" t="s">
        <v>29</v>
      </c>
      <c r="B45" s="571">
        <v>106</v>
      </c>
      <c r="C45" s="572">
        <v>92.488630000000001</v>
      </c>
      <c r="D45" s="573">
        <v>9</v>
      </c>
      <c r="E45" s="574">
        <v>7.6826699999999999</v>
      </c>
      <c r="F45" s="573">
        <v>3</v>
      </c>
      <c r="G45" s="574">
        <v>2.0306600000000001</v>
      </c>
      <c r="H45" s="570">
        <v>2.83018867924528E-2</v>
      </c>
      <c r="I45" s="575">
        <v>2.1955779861805701E-2</v>
      </c>
    </row>
    <row r="46" spans="1:9" ht="22.5" x14ac:dyDescent="0.25">
      <c r="A46" s="567" t="s">
        <v>7</v>
      </c>
      <c r="B46" s="571">
        <v>223.5</v>
      </c>
      <c r="C46" s="572">
        <v>192.47914</v>
      </c>
      <c r="D46" s="573">
        <v>7</v>
      </c>
      <c r="E46" s="574">
        <v>6.8533299999999997</v>
      </c>
      <c r="F46" s="573">
        <v>7</v>
      </c>
      <c r="G46" s="574">
        <v>5.1181900000000002</v>
      </c>
      <c r="H46" s="570">
        <v>3.1319910514541402E-2</v>
      </c>
      <c r="I46" s="575">
        <v>2.6590881484611799E-2</v>
      </c>
    </row>
    <row r="47" spans="1:9" ht="22.5" x14ac:dyDescent="0.25">
      <c r="A47" s="567" t="s">
        <v>30</v>
      </c>
      <c r="B47" s="571">
        <v>358.5</v>
      </c>
      <c r="C47" s="572">
        <v>313.18068</v>
      </c>
      <c r="D47" s="573">
        <v>23</v>
      </c>
      <c r="E47" s="574">
        <v>21.233329999999999</v>
      </c>
      <c r="F47" s="573">
        <v>19</v>
      </c>
      <c r="G47" s="574">
        <v>17.066659999999999</v>
      </c>
      <c r="H47" s="570">
        <v>5.2998605299860502E-2</v>
      </c>
      <c r="I47" s="575">
        <v>5.4494613141525802E-2</v>
      </c>
    </row>
    <row r="48" spans="1:9" x14ac:dyDescent="0.25">
      <c r="A48" s="567" t="s">
        <v>31</v>
      </c>
      <c r="B48" s="571">
        <v>72</v>
      </c>
      <c r="C48" s="572">
        <v>65.959434999999999</v>
      </c>
      <c r="D48" s="573">
        <v>10</v>
      </c>
      <c r="E48" s="574">
        <v>9.2833299999999994</v>
      </c>
      <c r="F48" s="573">
        <v>5</v>
      </c>
      <c r="G48" s="574">
        <v>4.21333</v>
      </c>
      <c r="H48" s="570">
        <v>6.9444444444444406E-2</v>
      </c>
      <c r="I48" s="575">
        <v>6.3877593857497403E-2</v>
      </c>
    </row>
    <row r="49" spans="1:9" x14ac:dyDescent="0.25">
      <c r="A49" s="567" t="s">
        <v>281</v>
      </c>
      <c r="B49" s="571">
        <v>5</v>
      </c>
      <c r="C49" s="572">
        <v>5</v>
      </c>
      <c r="D49" s="573">
        <v>2</v>
      </c>
      <c r="E49" s="574">
        <v>2</v>
      </c>
      <c r="F49" s="573">
        <v>0</v>
      </c>
      <c r="G49" s="574">
        <v>0</v>
      </c>
      <c r="H49" s="570">
        <v>0</v>
      </c>
      <c r="I49" s="575">
        <v>0</v>
      </c>
    </row>
    <row r="50" spans="1:9" x14ac:dyDescent="0.25">
      <c r="A50" s="567" t="s">
        <v>8</v>
      </c>
      <c r="B50" s="571">
        <v>322</v>
      </c>
      <c r="C50" s="572">
        <v>284.48482000000001</v>
      </c>
      <c r="D50" s="573">
        <v>25</v>
      </c>
      <c r="E50" s="574">
        <v>22.997599999999998</v>
      </c>
      <c r="F50" s="573">
        <v>12</v>
      </c>
      <c r="G50" s="574">
        <v>10.026680000000001</v>
      </c>
      <c r="H50" s="570">
        <v>3.7267080745341602E-2</v>
      </c>
      <c r="I50" s="575">
        <v>3.5245044006214497E-2</v>
      </c>
    </row>
    <row r="51" spans="1:9" ht="22.5" x14ac:dyDescent="0.25">
      <c r="A51" s="567" t="s">
        <v>18</v>
      </c>
      <c r="B51" s="571">
        <v>213.5</v>
      </c>
      <c r="C51" s="572">
        <v>202.32249999999999</v>
      </c>
      <c r="D51" s="573">
        <v>11</v>
      </c>
      <c r="E51" s="574">
        <v>10.66666</v>
      </c>
      <c r="F51" s="573">
        <v>2</v>
      </c>
      <c r="G51" s="574">
        <v>2</v>
      </c>
      <c r="H51" s="570">
        <v>9.3676814988290398E-3</v>
      </c>
      <c r="I51" s="575">
        <v>9.8852080218463107E-3</v>
      </c>
    </row>
    <row r="52" spans="1:9" ht="22.5" x14ac:dyDescent="0.25">
      <c r="A52" s="567" t="s">
        <v>293</v>
      </c>
      <c r="B52" s="571">
        <v>8</v>
      </c>
      <c r="C52" s="572">
        <v>8</v>
      </c>
      <c r="D52" s="573">
        <v>0</v>
      </c>
      <c r="E52" s="574">
        <v>0</v>
      </c>
      <c r="F52" s="573">
        <v>0</v>
      </c>
      <c r="G52" s="574">
        <v>0</v>
      </c>
      <c r="H52" s="570">
        <v>0</v>
      </c>
      <c r="I52" s="575">
        <v>0</v>
      </c>
    </row>
    <row r="53" spans="1:9" ht="22.5" x14ac:dyDescent="0.25">
      <c r="A53" s="567" t="s">
        <v>67</v>
      </c>
      <c r="B53" s="571">
        <v>201</v>
      </c>
      <c r="C53" s="572">
        <v>165.983205</v>
      </c>
      <c r="D53" s="573">
        <v>16</v>
      </c>
      <c r="E53" s="574">
        <v>12.75333</v>
      </c>
      <c r="F53" s="573">
        <v>5</v>
      </c>
      <c r="G53" s="574">
        <v>4.2533300000000001</v>
      </c>
      <c r="H53" s="570">
        <v>2.48756218905473E-2</v>
      </c>
      <c r="I53" s="575">
        <v>2.5625062487496901E-2</v>
      </c>
    </row>
    <row r="54" spans="1:9" ht="33.75" x14ac:dyDescent="0.25">
      <c r="A54" s="567" t="s">
        <v>32</v>
      </c>
      <c r="B54" s="571">
        <v>13.5</v>
      </c>
      <c r="C54" s="572">
        <v>13.1</v>
      </c>
      <c r="D54" s="573">
        <v>0</v>
      </c>
      <c r="E54" s="574">
        <v>0</v>
      </c>
      <c r="F54" s="573">
        <v>0</v>
      </c>
      <c r="G54" s="574">
        <v>0</v>
      </c>
      <c r="H54" s="570">
        <v>0</v>
      </c>
      <c r="I54" s="575">
        <v>0</v>
      </c>
    </row>
    <row r="55" spans="1:9" x14ac:dyDescent="0.25">
      <c r="A55" s="567" t="s">
        <v>68</v>
      </c>
      <c r="B55" s="571">
        <v>135.5</v>
      </c>
      <c r="C55" s="572">
        <v>113.774395</v>
      </c>
      <c r="D55" s="573">
        <v>7</v>
      </c>
      <c r="E55" s="574">
        <v>6.1034600000000001</v>
      </c>
      <c r="F55" s="573">
        <v>3</v>
      </c>
      <c r="G55" s="574">
        <v>2.4533299999999998</v>
      </c>
      <c r="H55" s="570">
        <v>2.2140221402214E-2</v>
      </c>
      <c r="I55" s="575">
        <v>2.1563111805604399E-2</v>
      </c>
    </row>
    <row r="56" spans="1:9" ht="22.5" x14ac:dyDescent="0.25">
      <c r="A56" s="567" t="s">
        <v>33</v>
      </c>
      <c r="B56" s="571">
        <v>121.5</v>
      </c>
      <c r="C56" s="572">
        <v>107.51667500000001</v>
      </c>
      <c r="D56" s="573">
        <v>3</v>
      </c>
      <c r="E56" s="574">
        <v>3</v>
      </c>
      <c r="F56" s="573">
        <v>1</v>
      </c>
      <c r="G56" s="574">
        <v>1</v>
      </c>
      <c r="H56" s="570">
        <v>8.23045267489712E-3</v>
      </c>
      <c r="I56" s="575">
        <v>9.3008828630535695E-3</v>
      </c>
    </row>
    <row r="57" spans="1:9" ht="22.5" x14ac:dyDescent="0.25">
      <c r="A57" s="567" t="s">
        <v>34</v>
      </c>
      <c r="B57" s="571">
        <v>177.5</v>
      </c>
      <c r="C57" s="572">
        <v>157.48667</v>
      </c>
      <c r="D57" s="573">
        <v>8</v>
      </c>
      <c r="E57" s="574">
        <v>7.49</v>
      </c>
      <c r="F57" s="573">
        <v>5</v>
      </c>
      <c r="G57" s="574">
        <v>3.86</v>
      </c>
      <c r="H57" s="570">
        <v>2.8169014084507001E-2</v>
      </c>
      <c r="I57" s="575">
        <v>2.4510010910764699E-2</v>
      </c>
    </row>
    <row r="58" spans="1:9" x14ac:dyDescent="0.25">
      <c r="A58" s="567" t="s">
        <v>50</v>
      </c>
      <c r="B58" s="571">
        <v>109.5</v>
      </c>
      <c r="C58" s="572">
        <v>99.059984999999998</v>
      </c>
      <c r="D58" s="573">
        <v>7</v>
      </c>
      <c r="E58" s="574">
        <v>6.6133300000000004</v>
      </c>
      <c r="F58" s="573">
        <v>1</v>
      </c>
      <c r="G58" s="574">
        <v>0.92</v>
      </c>
      <c r="H58" s="570">
        <v>9.1324200913242004E-3</v>
      </c>
      <c r="I58" s="575">
        <v>9.2873020321979707E-3</v>
      </c>
    </row>
    <row r="59" spans="1:9" ht="22.5" x14ac:dyDescent="0.25">
      <c r="A59" s="567" t="s">
        <v>19</v>
      </c>
      <c r="B59" s="571">
        <v>142.5</v>
      </c>
      <c r="C59" s="572">
        <v>131.74371500000001</v>
      </c>
      <c r="D59" s="573">
        <v>3</v>
      </c>
      <c r="E59" s="574">
        <v>2.72</v>
      </c>
      <c r="F59" s="573">
        <v>5</v>
      </c>
      <c r="G59" s="574">
        <v>3.88</v>
      </c>
      <c r="H59" s="570">
        <v>3.5087719298245598E-2</v>
      </c>
      <c r="I59" s="575">
        <v>2.9451120305814999E-2</v>
      </c>
    </row>
    <row r="60" spans="1:9" ht="22.5" x14ac:dyDescent="0.25">
      <c r="A60" s="567" t="s">
        <v>51</v>
      </c>
      <c r="B60" s="571">
        <v>13</v>
      </c>
      <c r="C60" s="572">
        <v>11.6</v>
      </c>
      <c r="D60" s="573">
        <v>0</v>
      </c>
      <c r="E60" s="574">
        <v>0</v>
      </c>
      <c r="F60" s="573">
        <v>0</v>
      </c>
      <c r="G60" s="574">
        <v>0</v>
      </c>
      <c r="H60" s="570">
        <v>0</v>
      </c>
      <c r="I60" s="575">
        <v>0</v>
      </c>
    </row>
    <row r="61" spans="1:9" ht="22.5" x14ac:dyDescent="0.25">
      <c r="A61" s="567" t="s">
        <v>35</v>
      </c>
      <c r="B61" s="571">
        <v>187</v>
      </c>
      <c r="C61" s="572">
        <v>158.250685</v>
      </c>
      <c r="D61" s="573">
        <v>8</v>
      </c>
      <c r="E61" s="574">
        <v>7.2266599999999999</v>
      </c>
      <c r="F61" s="573">
        <v>4</v>
      </c>
      <c r="G61" s="574">
        <v>3.5466700000000002</v>
      </c>
      <c r="H61" s="570">
        <v>2.1390374331550801E-2</v>
      </c>
      <c r="I61" s="575">
        <v>2.2411719734420101E-2</v>
      </c>
    </row>
    <row r="62" spans="1:9" ht="22.5" x14ac:dyDescent="0.25">
      <c r="A62" s="567" t="s">
        <v>20</v>
      </c>
      <c r="B62" s="571">
        <v>285</v>
      </c>
      <c r="C62" s="572">
        <v>259.143305</v>
      </c>
      <c r="D62" s="573">
        <v>9</v>
      </c>
      <c r="E62" s="574">
        <v>8.6</v>
      </c>
      <c r="F62" s="573">
        <v>4</v>
      </c>
      <c r="G62" s="574">
        <v>3.52</v>
      </c>
      <c r="H62" s="570">
        <v>1.4035087719298201E-2</v>
      </c>
      <c r="I62" s="575">
        <v>1.35832179804915E-2</v>
      </c>
    </row>
    <row r="63" spans="1:9" ht="22.5" x14ac:dyDescent="0.25">
      <c r="A63" s="567" t="s">
        <v>52</v>
      </c>
      <c r="B63" s="571">
        <v>98</v>
      </c>
      <c r="C63" s="572">
        <v>81.59469</v>
      </c>
      <c r="D63" s="573">
        <v>5</v>
      </c>
      <c r="E63" s="574">
        <v>3.65334</v>
      </c>
      <c r="F63" s="573">
        <v>1</v>
      </c>
      <c r="G63" s="574">
        <v>0.77332999999999996</v>
      </c>
      <c r="H63" s="570">
        <v>1.02040816326531E-2</v>
      </c>
      <c r="I63" s="575">
        <v>9.4777000807282907E-3</v>
      </c>
    </row>
    <row r="64" spans="1:9" x14ac:dyDescent="0.25">
      <c r="A64" s="567" t="s">
        <v>53</v>
      </c>
      <c r="B64" s="571">
        <v>22</v>
      </c>
      <c r="C64" s="572">
        <v>16.523064999999999</v>
      </c>
      <c r="D64" s="573">
        <v>0</v>
      </c>
      <c r="E64" s="574">
        <v>0</v>
      </c>
      <c r="F64" s="573">
        <v>3</v>
      </c>
      <c r="G64" s="574">
        <v>2.0666699999999998</v>
      </c>
      <c r="H64" s="570">
        <v>0.13636363636363599</v>
      </c>
      <c r="I64" s="575">
        <v>0.12507788355247601</v>
      </c>
    </row>
    <row r="65" spans="1:9" x14ac:dyDescent="0.25">
      <c r="A65" s="567" t="s">
        <v>9</v>
      </c>
      <c r="B65" s="571">
        <v>301</v>
      </c>
      <c r="C65" s="572">
        <v>274.57967000000002</v>
      </c>
      <c r="D65" s="573">
        <v>5</v>
      </c>
      <c r="E65" s="574">
        <v>4.7</v>
      </c>
      <c r="F65" s="573">
        <v>14</v>
      </c>
      <c r="G65" s="574">
        <v>12.786659999999999</v>
      </c>
      <c r="H65" s="570">
        <v>4.6511627906976799E-2</v>
      </c>
      <c r="I65" s="575">
        <v>4.6568123561369301E-2</v>
      </c>
    </row>
    <row r="66" spans="1:9" x14ac:dyDescent="0.25">
      <c r="A66" s="567" t="s">
        <v>10</v>
      </c>
      <c r="B66" s="571">
        <v>162</v>
      </c>
      <c r="C66" s="572">
        <v>150.46997999999999</v>
      </c>
      <c r="D66" s="573">
        <v>11</v>
      </c>
      <c r="E66" s="574">
        <v>10.42667</v>
      </c>
      <c r="F66" s="573">
        <v>7</v>
      </c>
      <c r="G66" s="574">
        <v>5.5</v>
      </c>
      <c r="H66" s="570">
        <v>4.3209876543209902E-2</v>
      </c>
      <c r="I66" s="575">
        <v>3.6552141496928502E-2</v>
      </c>
    </row>
    <row r="67" spans="1:9" ht="22.5" x14ac:dyDescent="0.25">
      <c r="A67" s="567" t="s">
        <v>54</v>
      </c>
      <c r="B67" s="571">
        <v>74</v>
      </c>
      <c r="C67" s="572">
        <v>65.559984999999998</v>
      </c>
      <c r="D67" s="573">
        <v>0</v>
      </c>
      <c r="E67" s="574">
        <v>0</v>
      </c>
      <c r="F67" s="573">
        <v>6</v>
      </c>
      <c r="G67" s="574">
        <v>4.2333299999999996</v>
      </c>
      <c r="H67" s="570">
        <v>8.1081081081081099E-2</v>
      </c>
      <c r="I67" s="575">
        <v>6.4571857360858104E-2</v>
      </c>
    </row>
    <row r="68" spans="1:9" x14ac:dyDescent="0.25">
      <c r="A68" s="567" t="s">
        <v>38</v>
      </c>
      <c r="B68" s="571">
        <v>21</v>
      </c>
      <c r="C68" s="572">
        <v>19.906669999999998</v>
      </c>
      <c r="D68" s="573">
        <v>2</v>
      </c>
      <c r="E68" s="574">
        <v>2</v>
      </c>
      <c r="F68" s="573">
        <v>1</v>
      </c>
      <c r="G68" s="574">
        <v>1</v>
      </c>
      <c r="H68" s="570">
        <v>4.7619047619047603E-2</v>
      </c>
      <c r="I68" s="575">
        <v>5.0234418915870903E-2</v>
      </c>
    </row>
    <row r="69" spans="1:9" ht="22.5" x14ac:dyDescent="0.25">
      <c r="A69" s="567" t="s">
        <v>40</v>
      </c>
      <c r="B69" s="571">
        <v>106.5</v>
      </c>
      <c r="C69" s="572">
        <v>99.534670000000006</v>
      </c>
      <c r="D69" s="573">
        <v>2</v>
      </c>
      <c r="E69" s="574">
        <v>2</v>
      </c>
      <c r="F69" s="573">
        <v>9</v>
      </c>
      <c r="G69" s="574">
        <v>8.1866699999999994</v>
      </c>
      <c r="H69" s="570">
        <v>8.4507042253521097E-2</v>
      </c>
      <c r="I69" s="575">
        <v>8.2249431278568597E-2</v>
      </c>
    </row>
    <row r="70" spans="1:9" x14ac:dyDescent="0.25">
      <c r="A70" s="567" t="s">
        <v>21</v>
      </c>
      <c r="B70" s="571">
        <v>967</v>
      </c>
      <c r="C70" s="572">
        <v>757.33260499999994</v>
      </c>
      <c r="D70" s="573">
        <v>41</v>
      </c>
      <c r="E70" s="574">
        <v>29.946629999999999</v>
      </c>
      <c r="F70" s="573">
        <v>32</v>
      </c>
      <c r="G70" s="574">
        <v>21.273309999999999</v>
      </c>
      <c r="H70" s="570">
        <v>3.3092037228541898E-2</v>
      </c>
      <c r="I70" s="575">
        <v>2.8089784936698999E-2</v>
      </c>
    </row>
    <row r="71" spans="1:9" ht="22.5" x14ac:dyDescent="0.25">
      <c r="A71" s="567" t="s">
        <v>55</v>
      </c>
      <c r="B71" s="571">
        <v>39.5</v>
      </c>
      <c r="C71" s="572">
        <v>36.040005000000001</v>
      </c>
      <c r="D71" s="573">
        <v>0</v>
      </c>
      <c r="E71" s="574">
        <v>0</v>
      </c>
      <c r="F71" s="573">
        <v>0</v>
      </c>
      <c r="G71" s="574">
        <v>0</v>
      </c>
      <c r="H71" s="570">
        <v>0</v>
      </c>
      <c r="I71" s="575">
        <v>0</v>
      </c>
    </row>
    <row r="72" spans="1:9" ht="22.5" x14ac:dyDescent="0.25">
      <c r="A72" s="567" t="s">
        <v>56</v>
      </c>
      <c r="B72" s="571">
        <v>590.5</v>
      </c>
      <c r="C72" s="572">
        <v>520.22959000000003</v>
      </c>
      <c r="D72" s="573">
        <v>25</v>
      </c>
      <c r="E72" s="574">
        <v>21.746670000000002</v>
      </c>
      <c r="F72" s="573">
        <v>11</v>
      </c>
      <c r="G72" s="574">
        <v>9.7400099999999998</v>
      </c>
      <c r="H72" s="570">
        <v>1.8628281117696901E-2</v>
      </c>
      <c r="I72" s="575">
        <v>1.8722522107979301E-2</v>
      </c>
    </row>
    <row r="73" spans="1:9" x14ac:dyDescent="0.25">
      <c r="A73" s="567" t="s">
        <v>11</v>
      </c>
      <c r="B73" s="571">
        <v>342.5</v>
      </c>
      <c r="C73" s="572">
        <v>286.15854000000002</v>
      </c>
      <c r="D73" s="573">
        <v>22</v>
      </c>
      <c r="E73" s="574">
        <v>20.326540000000001</v>
      </c>
      <c r="F73" s="573">
        <v>16</v>
      </c>
      <c r="G73" s="574">
        <v>15.44</v>
      </c>
      <c r="H73" s="570">
        <v>4.6715328467153303E-2</v>
      </c>
      <c r="I73" s="575">
        <v>5.3956104193151097E-2</v>
      </c>
    </row>
    <row r="74" spans="1:9" ht="22.5" x14ac:dyDescent="0.25">
      <c r="A74" s="567" t="s">
        <v>36</v>
      </c>
      <c r="B74" s="571">
        <v>195</v>
      </c>
      <c r="C74" s="572">
        <v>170.85371000000001</v>
      </c>
      <c r="D74" s="573">
        <v>16</v>
      </c>
      <c r="E74" s="574">
        <v>15.533329999999999</v>
      </c>
      <c r="F74" s="573">
        <v>9</v>
      </c>
      <c r="G74" s="574">
        <v>7.3733199999999997</v>
      </c>
      <c r="H74" s="570">
        <v>4.6153846153846198E-2</v>
      </c>
      <c r="I74" s="575">
        <v>4.3155750027318703E-2</v>
      </c>
    </row>
    <row r="75" spans="1:9" ht="33.75" x14ac:dyDescent="0.25">
      <c r="A75" s="567" t="s">
        <v>57</v>
      </c>
      <c r="B75" s="571">
        <v>246</v>
      </c>
      <c r="C75" s="572">
        <v>216.89345499999999</v>
      </c>
      <c r="D75" s="573">
        <v>19</v>
      </c>
      <c r="E75" s="574">
        <v>17.760000000000002</v>
      </c>
      <c r="F75" s="573">
        <v>10</v>
      </c>
      <c r="G75" s="574">
        <v>7.7333299999999996</v>
      </c>
      <c r="H75" s="570">
        <v>4.0650406504064998E-2</v>
      </c>
      <c r="I75" s="575">
        <v>3.5654971700275602E-2</v>
      </c>
    </row>
    <row r="76" spans="1:9" x14ac:dyDescent="0.25">
      <c r="A76" s="567" t="s">
        <v>60</v>
      </c>
      <c r="B76" s="571">
        <v>5.5</v>
      </c>
      <c r="C76" s="572">
        <v>3.66</v>
      </c>
      <c r="D76" s="573">
        <v>0</v>
      </c>
      <c r="E76" s="574">
        <v>0</v>
      </c>
      <c r="F76" s="573">
        <v>1</v>
      </c>
      <c r="G76" s="574">
        <v>0.21332999999999999</v>
      </c>
      <c r="H76" s="570">
        <v>0.18181818181818199</v>
      </c>
      <c r="I76" s="575">
        <v>5.8286885245901601E-2</v>
      </c>
    </row>
    <row r="77" spans="1:9" x14ac:dyDescent="0.25">
      <c r="A77" s="567" t="s">
        <v>58</v>
      </c>
      <c r="B77" s="571">
        <v>53.5</v>
      </c>
      <c r="C77" s="572">
        <v>47.753340000000001</v>
      </c>
      <c r="D77" s="573">
        <v>1</v>
      </c>
      <c r="E77" s="574">
        <v>1</v>
      </c>
      <c r="F77" s="573">
        <v>2</v>
      </c>
      <c r="G77" s="574">
        <v>1.5733299999999999</v>
      </c>
      <c r="H77" s="570">
        <v>3.7383177570093497E-2</v>
      </c>
      <c r="I77" s="575">
        <v>3.2947014805666003E-2</v>
      </c>
    </row>
    <row r="78" spans="1:9" ht="33.75" x14ac:dyDescent="0.25">
      <c r="A78" s="567" t="s">
        <v>69</v>
      </c>
      <c r="B78" s="571">
        <v>4</v>
      </c>
      <c r="C78" s="572">
        <v>4</v>
      </c>
      <c r="D78" s="573">
        <v>1</v>
      </c>
      <c r="E78" s="574">
        <v>1</v>
      </c>
      <c r="F78" s="573">
        <v>0</v>
      </c>
      <c r="G78" s="574">
        <v>0</v>
      </c>
      <c r="H78" s="570">
        <v>0</v>
      </c>
      <c r="I78" s="575">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dimension ref="A3:K62"/>
  <sheetViews>
    <sheetView workbookViewId="0">
      <selection activeCell="H71" sqref="H71"/>
    </sheetView>
  </sheetViews>
  <sheetFormatPr defaultRowHeight="15" x14ac:dyDescent="0.25"/>
  <cols>
    <col min="1" max="1" width="42.7109375" bestFit="1" customWidth="1"/>
    <col min="2" max="2" width="41.5703125" bestFit="1" customWidth="1"/>
    <col min="3" max="10" width="12.28515625" customWidth="1"/>
    <col min="11" max="11" width="12.28515625" style="10" customWidth="1"/>
    <col min="12" max="12" width="12.28515625" bestFit="1" customWidth="1"/>
    <col min="13" max="13" width="15.42578125" bestFit="1" customWidth="1"/>
    <col min="14" max="14" width="11.28515625" bestFit="1" customWidth="1"/>
  </cols>
  <sheetData>
    <row r="3" spans="1:11" x14ac:dyDescent="0.25">
      <c r="B3" s="6" t="s">
        <v>92</v>
      </c>
      <c r="C3" s="6" t="s">
        <v>139</v>
      </c>
      <c r="D3" s="6" t="s">
        <v>93</v>
      </c>
    </row>
    <row r="4" spans="1:11" x14ac:dyDescent="0.25">
      <c r="C4" t="s">
        <v>140</v>
      </c>
      <c r="E4" t="s">
        <v>141</v>
      </c>
      <c r="G4" t="s">
        <v>142</v>
      </c>
      <c r="I4" t="s">
        <v>143</v>
      </c>
    </row>
    <row r="5" spans="1:11" x14ac:dyDescent="0.25">
      <c r="A5" s="4" t="s">
        <v>23</v>
      </c>
      <c r="B5" s="6" t="s">
        <v>94</v>
      </c>
      <c r="C5" t="s">
        <v>95</v>
      </c>
      <c r="D5" t="s">
        <v>96</v>
      </c>
      <c r="E5" t="s">
        <v>95</v>
      </c>
      <c r="F5" t="s">
        <v>96</v>
      </c>
      <c r="G5" t="s">
        <v>95</v>
      </c>
      <c r="H5" t="s">
        <v>96</v>
      </c>
      <c r="I5" t="s">
        <v>95</v>
      </c>
      <c r="J5" t="s">
        <v>96</v>
      </c>
    </row>
    <row r="6" spans="1:11" x14ac:dyDescent="0.25">
      <c r="A6" s="4" t="s">
        <v>62</v>
      </c>
      <c r="B6" t="s">
        <v>80</v>
      </c>
      <c r="C6" s="5">
        <v>65.070000000000007</v>
      </c>
      <c r="D6" s="5">
        <v>526.04999999999995</v>
      </c>
      <c r="E6" s="5">
        <v>85.489999999999981</v>
      </c>
      <c r="F6" s="5">
        <v>553.04000000000008</v>
      </c>
      <c r="G6" s="5">
        <v>75.899999999999991</v>
      </c>
      <c r="H6" s="5">
        <v>581.29</v>
      </c>
      <c r="I6" s="5">
        <v>105.06999999999998</v>
      </c>
      <c r="J6" s="5">
        <v>573.36000000000013</v>
      </c>
      <c r="K6" s="10">
        <f>I6/J6</f>
        <v>0.18325310450676704</v>
      </c>
    </row>
    <row r="7" spans="1:11" x14ac:dyDescent="0.25">
      <c r="A7" s="4" t="s">
        <v>42</v>
      </c>
      <c r="B7" t="s">
        <v>97</v>
      </c>
      <c r="C7" s="5">
        <v>38.789999999999992</v>
      </c>
      <c r="D7" s="5">
        <v>433.68000000000006</v>
      </c>
      <c r="E7" s="5">
        <v>32.9</v>
      </c>
      <c r="F7" s="5">
        <v>456.29000000000036</v>
      </c>
      <c r="G7" s="5">
        <v>30.31</v>
      </c>
      <c r="H7" s="5">
        <v>447.3600000000003</v>
      </c>
      <c r="I7" s="5">
        <v>31.290000000000003</v>
      </c>
      <c r="J7" s="5">
        <v>460.4700000000002</v>
      </c>
      <c r="K7" s="10">
        <f t="shared" ref="K7:K62" si="0">I7/J7</f>
        <v>6.7952309596716373E-2</v>
      </c>
    </row>
    <row r="8" spans="1:11" x14ac:dyDescent="0.25">
      <c r="A8" s="4" t="s">
        <v>63</v>
      </c>
      <c r="B8" t="s">
        <v>79</v>
      </c>
      <c r="C8" s="5">
        <v>1.6</v>
      </c>
      <c r="D8" s="5">
        <v>360.69999999999993</v>
      </c>
      <c r="E8" s="5">
        <v>2.58</v>
      </c>
      <c r="F8" s="5">
        <v>369.33000000000004</v>
      </c>
      <c r="G8" s="5">
        <v>0.44</v>
      </c>
      <c r="H8" s="5">
        <v>370.85999999999996</v>
      </c>
      <c r="I8" s="5">
        <v>0.34</v>
      </c>
      <c r="J8" s="5">
        <v>366.88999999999993</v>
      </c>
      <c r="K8" s="10">
        <f t="shared" si="0"/>
        <v>9.2670827768541008E-4</v>
      </c>
    </row>
    <row r="9" spans="1:11" x14ac:dyDescent="0.25">
      <c r="A9" s="4" t="s">
        <v>13</v>
      </c>
      <c r="B9" t="s">
        <v>98</v>
      </c>
      <c r="C9" s="5">
        <v>3.29</v>
      </c>
      <c r="D9" s="5">
        <v>119.97999999999998</v>
      </c>
      <c r="E9" s="5">
        <v>1.4</v>
      </c>
      <c r="F9" s="5">
        <v>121.24999999999994</v>
      </c>
      <c r="G9" s="5">
        <v>0.78999999999999992</v>
      </c>
      <c r="H9" s="5">
        <v>117.49999999999996</v>
      </c>
      <c r="I9" s="5">
        <v>0.55000000000000004</v>
      </c>
      <c r="J9" s="5">
        <v>121.72999999999995</v>
      </c>
      <c r="K9" s="10">
        <f t="shared" si="0"/>
        <v>4.5181960075577118E-3</v>
      </c>
    </row>
    <row r="10" spans="1:11" x14ac:dyDescent="0.25">
      <c r="A10" s="4" t="s">
        <v>24</v>
      </c>
      <c r="B10" t="s">
        <v>99</v>
      </c>
      <c r="C10" s="5"/>
      <c r="D10" s="5">
        <v>138.57999999999998</v>
      </c>
      <c r="E10" s="5">
        <v>0.25</v>
      </c>
      <c r="F10" s="5">
        <v>134.46</v>
      </c>
      <c r="G10" s="5">
        <v>7.0000000000000007E-2</v>
      </c>
      <c r="H10" s="5">
        <v>141.51000000000002</v>
      </c>
      <c r="I10" s="5">
        <v>0.94000000000000006</v>
      </c>
      <c r="J10" s="5">
        <v>141.19999999999996</v>
      </c>
      <c r="K10" s="10">
        <f t="shared" si="0"/>
        <v>6.6572237960339968E-3</v>
      </c>
    </row>
    <row r="11" spans="1:11" x14ac:dyDescent="0.25">
      <c r="A11" s="4" t="s">
        <v>43</v>
      </c>
      <c r="B11" t="s">
        <v>77</v>
      </c>
      <c r="C11" s="5">
        <v>52.230000000000004</v>
      </c>
      <c r="D11" s="5">
        <v>510.84999999999991</v>
      </c>
      <c r="E11" s="5">
        <v>60.78</v>
      </c>
      <c r="F11" s="5">
        <v>521.56000000000017</v>
      </c>
      <c r="G11" s="5">
        <v>59.70999999999998</v>
      </c>
      <c r="H11" s="5">
        <v>550.50999999999988</v>
      </c>
      <c r="I11" s="5">
        <v>60.839999999999961</v>
      </c>
      <c r="J11" s="5">
        <v>558.84</v>
      </c>
      <c r="K11" s="10">
        <f t="shared" si="0"/>
        <v>0.10886837019540468</v>
      </c>
    </row>
    <row r="12" spans="1:11" x14ac:dyDescent="0.25">
      <c r="A12" s="4" t="s">
        <v>14</v>
      </c>
      <c r="B12" t="s">
        <v>100</v>
      </c>
      <c r="C12" s="5">
        <v>48.49</v>
      </c>
      <c r="D12" s="5">
        <v>813.91999999999985</v>
      </c>
      <c r="E12" s="5">
        <v>65.45999999999998</v>
      </c>
      <c r="F12" s="5">
        <v>847.07999999999981</v>
      </c>
      <c r="G12" s="5">
        <v>53.489999999999995</v>
      </c>
      <c r="H12" s="5">
        <v>901.76999999999953</v>
      </c>
      <c r="I12" s="5">
        <v>59.630000000000017</v>
      </c>
      <c r="J12" s="5">
        <v>916.11</v>
      </c>
      <c r="K12" s="10">
        <f t="shared" si="0"/>
        <v>6.5090436737946331E-2</v>
      </c>
    </row>
    <row r="13" spans="1:11" x14ac:dyDescent="0.25">
      <c r="B13" t="s">
        <v>101</v>
      </c>
      <c r="C13" s="5">
        <v>2.7</v>
      </c>
      <c r="D13" s="5">
        <v>33.900000000000006</v>
      </c>
      <c r="E13" s="5">
        <v>3.13</v>
      </c>
      <c r="F13" s="5">
        <v>34.280000000000008</v>
      </c>
      <c r="G13" s="5">
        <v>1.37</v>
      </c>
      <c r="H13" s="5">
        <v>36.790000000000013</v>
      </c>
      <c r="I13" s="5">
        <v>1.25</v>
      </c>
      <c r="J13" s="5">
        <v>41.650000000000013</v>
      </c>
      <c r="K13" s="10">
        <f t="shared" si="0"/>
        <v>3.0012004801920761E-2</v>
      </c>
    </row>
    <row r="14" spans="1:11" x14ac:dyDescent="0.25">
      <c r="A14" s="4" t="s">
        <v>44</v>
      </c>
      <c r="B14" t="s">
        <v>102</v>
      </c>
      <c r="C14" s="5"/>
      <c r="D14" s="5">
        <v>0</v>
      </c>
      <c r="E14" s="5"/>
      <c r="F14" s="5">
        <v>0</v>
      </c>
      <c r="G14" s="5"/>
      <c r="H14" s="5">
        <v>0</v>
      </c>
      <c r="I14" s="5"/>
      <c r="J14" s="5">
        <v>0</v>
      </c>
      <c r="K14" s="10">
        <v>0</v>
      </c>
    </row>
    <row r="15" spans="1:11" x14ac:dyDescent="0.25">
      <c r="A15" s="4" t="s">
        <v>64</v>
      </c>
      <c r="B15" t="s">
        <v>103</v>
      </c>
      <c r="C15" s="5">
        <v>24.8</v>
      </c>
      <c r="D15" s="5">
        <v>222.07000000000002</v>
      </c>
      <c r="E15" s="5">
        <v>32.479999999999997</v>
      </c>
      <c r="F15" s="5">
        <v>231.34000000000006</v>
      </c>
      <c r="G15" s="5">
        <v>27.089999999999996</v>
      </c>
      <c r="H15" s="5">
        <v>248.18000000000009</v>
      </c>
      <c r="I15" s="5">
        <v>24.980000000000008</v>
      </c>
      <c r="J15" s="5">
        <v>259.7700000000001</v>
      </c>
      <c r="K15" s="10">
        <f t="shared" si="0"/>
        <v>9.6161989452207719E-2</v>
      </c>
    </row>
    <row r="16" spans="1:11" x14ac:dyDescent="0.25">
      <c r="A16" s="4" t="s">
        <v>15</v>
      </c>
      <c r="B16" t="s">
        <v>104</v>
      </c>
      <c r="C16" s="5">
        <v>0</v>
      </c>
      <c r="D16" s="5">
        <v>195.74000000000007</v>
      </c>
      <c r="E16" s="5">
        <v>0</v>
      </c>
      <c r="F16" s="5">
        <v>193.53</v>
      </c>
      <c r="G16" s="5">
        <v>0</v>
      </c>
      <c r="H16" s="5">
        <v>204.81000000000003</v>
      </c>
      <c r="I16" s="5">
        <v>0</v>
      </c>
      <c r="J16" s="5">
        <v>204.38000000000002</v>
      </c>
      <c r="K16" s="10">
        <f t="shared" si="0"/>
        <v>0</v>
      </c>
    </row>
    <row r="17" spans="1:11" x14ac:dyDescent="0.25">
      <c r="A17" s="4" t="s">
        <v>45</v>
      </c>
      <c r="B17" t="s">
        <v>105</v>
      </c>
      <c r="C17" s="5"/>
      <c r="D17" s="5">
        <v>82.330000000000013</v>
      </c>
      <c r="E17" s="5"/>
      <c r="F17" s="5">
        <v>77.790000000000006</v>
      </c>
      <c r="G17" s="5"/>
      <c r="H17" s="5">
        <v>76.050000000000011</v>
      </c>
      <c r="I17" s="5"/>
      <c r="J17" s="5">
        <v>83.800000000000011</v>
      </c>
      <c r="K17" s="10">
        <f t="shared" si="0"/>
        <v>0</v>
      </c>
    </row>
    <row r="18" spans="1:11" x14ac:dyDescent="0.25">
      <c r="A18" s="4" t="s">
        <v>46</v>
      </c>
      <c r="B18" t="s">
        <v>106</v>
      </c>
      <c r="C18" s="5">
        <v>21.740000000000002</v>
      </c>
      <c r="D18" s="5">
        <v>675.78999999999985</v>
      </c>
      <c r="E18" s="5">
        <v>26.51</v>
      </c>
      <c r="F18" s="5">
        <v>677.86000000000013</v>
      </c>
      <c r="G18" s="5">
        <v>29.620000000000005</v>
      </c>
      <c r="H18" s="5">
        <v>683.6500000000002</v>
      </c>
      <c r="I18" s="5">
        <v>37.409999999999997</v>
      </c>
      <c r="J18" s="5">
        <v>704.21</v>
      </c>
      <c r="K18" s="10">
        <f t="shared" si="0"/>
        <v>5.3123358089206339E-2</v>
      </c>
    </row>
    <row r="19" spans="1:11" x14ac:dyDescent="0.25">
      <c r="A19" s="4" t="s">
        <v>47</v>
      </c>
      <c r="B19" t="s">
        <v>107</v>
      </c>
      <c r="C19" s="5">
        <v>4.3499999999999996</v>
      </c>
      <c r="D19" s="5">
        <v>139.86999999999998</v>
      </c>
      <c r="E19" s="5">
        <v>1.4000000000000001</v>
      </c>
      <c r="F19" s="5">
        <v>141.94000000000003</v>
      </c>
      <c r="G19" s="5">
        <v>0.58000000000000007</v>
      </c>
      <c r="H19" s="5">
        <v>139.28000000000003</v>
      </c>
      <c r="I19" s="5">
        <v>0</v>
      </c>
      <c r="J19" s="5">
        <v>138.12</v>
      </c>
      <c r="K19" s="10">
        <f t="shared" si="0"/>
        <v>0</v>
      </c>
    </row>
    <row r="20" spans="1:11" x14ac:dyDescent="0.25">
      <c r="A20" s="4" t="s">
        <v>25</v>
      </c>
      <c r="B20" t="s">
        <v>82</v>
      </c>
      <c r="C20" s="5">
        <v>4.1400000000000006</v>
      </c>
      <c r="D20" s="5">
        <v>99.669999999999987</v>
      </c>
      <c r="E20" s="5">
        <v>3.4</v>
      </c>
      <c r="F20" s="5">
        <v>116.56999999999996</v>
      </c>
      <c r="G20" s="5">
        <v>2.13</v>
      </c>
      <c r="H20" s="5">
        <v>121.72999999999998</v>
      </c>
      <c r="I20" s="5">
        <v>0.72</v>
      </c>
      <c r="J20" s="5">
        <v>119.21999999999998</v>
      </c>
      <c r="K20" s="10">
        <f t="shared" si="0"/>
        <v>6.0392551585304486E-3</v>
      </c>
    </row>
    <row r="21" spans="1:11" x14ac:dyDescent="0.25">
      <c r="A21" s="4" t="s">
        <v>16</v>
      </c>
      <c r="B21" t="s">
        <v>108</v>
      </c>
      <c r="C21" s="5">
        <v>0</v>
      </c>
      <c r="D21" s="5">
        <v>131.23999999999998</v>
      </c>
      <c r="E21" s="5">
        <v>0</v>
      </c>
      <c r="F21" s="5">
        <v>137.50000000000003</v>
      </c>
      <c r="G21" s="5">
        <v>0</v>
      </c>
      <c r="H21" s="5">
        <v>134.64999999999998</v>
      </c>
      <c r="I21" s="5">
        <v>0.05</v>
      </c>
      <c r="J21" s="5">
        <v>138.69999999999996</v>
      </c>
      <c r="K21" s="10">
        <f t="shared" si="0"/>
        <v>3.6049026676279755E-4</v>
      </c>
    </row>
    <row r="22" spans="1:11" x14ac:dyDescent="0.25">
      <c r="A22" s="4" t="s">
        <v>17</v>
      </c>
      <c r="B22" t="s">
        <v>91</v>
      </c>
      <c r="C22" s="5">
        <v>7.0499999999999989</v>
      </c>
      <c r="D22" s="5">
        <v>359.9199999999999</v>
      </c>
      <c r="E22" s="5">
        <v>9.5799999999999983</v>
      </c>
      <c r="F22" s="5">
        <v>361.44000000000005</v>
      </c>
      <c r="G22" s="5">
        <v>6.27</v>
      </c>
      <c r="H22" s="5">
        <v>357.74000000000007</v>
      </c>
      <c r="I22" s="5">
        <v>5.68</v>
      </c>
      <c r="J22" s="5">
        <v>364.0100000000001</v>
      </c>
      <c r="K22" s="10">
        <f t="shared" si="0"/>
        <v>1.56039669239856E-2</v>
      </c>
    </row>
    <row r="23" spans="1:11" x14ac:dyDescent="0.25">
      <c r="A23" s="4" t="s">
        <v>26</v>
      </c>
      <c r="B23" t="s">
        <v>109</v>
      </c>
      <c r="C23" s="5">
        <v>5.6499999999999995</v>
      </c>
      <c r="D23" s="5">
        <v>453.10000000000031</v>
      </c>
      <c r="E23" s="5">
        <v>3.1400000000000006</v>
      </c>
      <c r="F23" s="5">
        <v>469.06000000000017</v>
      </c>
      <c r="G23" s="5">
        <v>6.9899999999999993</v>
      </c>
      <c r="H23" s="5">
        <v>465.62000000000029</v>
      </c>
      <c r="I23" s="5">
        <v>7.17</v>
      </c>
      <c r="J23" s="5">
        <v>456.26000000000028</v>
      </c>
      <c r="K23" s="10">
        <f t="shared" si="0"/>
        <v>1.5714724060842494E-2</v>
      </c>
    </row>
    <row r="24" spans="1:11" x14ac:dyDescent="0.25">
      <c r="A24" s="4" t="s">
        <v>27</v>
      </c>
      <c r="B24" t="s">
        <v>110</v>
      </c>
      <c r="C24" s="5">
        <v>83.510000000000019</v>
      </c>
      <c r="D24" s="5">
        <v>819.93000000000006</v>
      </c>
      <c r="E24" s="5">
        <v>100.42000000000003</v>
      </c>
      <c r="F24" s="5">
        <v>826.56999999999994</v>
      </c>
      <c r="G24" s="5">
        <v>115.76</v>
      </c>
      <c r="H24" s="5">
        <v>846.08000000000015</v>
      </c>
      <c r="I24" s="5">
        <v>126.11000000000001</v>
      </c>
      <c r="J24" s="5">
        <v>851.61000000000013</v>
      </c>
      <c r="K24" s="10">
        <f t="shared" si="0"/>
        <v>0.14808421695376991</v>
      </c>
    </row>
    <row r="25" spans="1:11" x14ac:dyDescent="0.25">
      <c r="A25" s="4" t="s">
        <v>48</v>
      </c>
      <c r="B25" t="s">
        <v>85</v>
      </c>
      <c r="C25" s="5">
        <v>18.27</v>
      </c>
      <c r="D25" s="5">
        <v>161.81999999999996</v>
      </c>
      <c r="E25" s="5">
        <v>20.839999999999996</v>
      </c>
      <c r="F25" s="5">
        <v>185.43000000000004</v>
      </c>
      <c r="G25" s="5">
        <v>18.700000000000003</v>
      </c>
      <c r="H25" s="5">
        <v>192.67</v>
      </c>
      <c r="I25" s="5">
        <v>14.870000000000001</v>
      </c>
      <c r="J25" s="5">
        <v>189.45</v>
      </c>
      <c r="K25" s="10">
        <f t="shared" si="0"/>
        <v>7.8490366851411988E-2</v>
      </c>
    </row>
    <row r="26" spans="1:11" x14ac:dyDescent="0.25">
      <c r="A26" s="4" t="s">
        <v>28</v>
      </c>
      <c r="B26" t="s">
        <v>111</v>
      </c>
      <c r="C26" s="5">
        <v>5.54</v>
      </c>
      <c r="D26" s="5">
        <v>208.8</v>
      </c>
      <c r="E26" s="5">
        <v>1.93</v>
      </c>
      <c r="F26" s="5">
        <v>210.54</v>
      </c>
      <c r="G26" s="5">
        <v>-3.69</v>
      </c>
      <c r="H26" s="5">
        <v>212.53</v>
      </c>
      <c r="I26" s="5">
        <v>0.09</v>
      </c>
      <c r="J26" s="5">
        <v>217.25999999999993</v>
      </c>
      <c r="K26" s="10">
        <f t="shared" si="0"/>
        <v>4.1425020712510365E-4</v>
      </c>
    </row>
    <row r="27" spans="1:11" x14ac:dyDescent="0.25">
      <c r="A27" s="4" t="s">
        <v>49</v>
      </c>
      <c r="B27" t="s">
        <v>112</v>
      </c>
      <c r="C27" s="5">
        <v>78.890000000000015</v>
      </c>
      <c r="D27" s="5">
        <v>434.7000000000001</v>
      </c>
      <c r="E27" s="5">
        <v>104.70000000000002</v>
      </c>
      <c r="F27" s="5">
        <v>439.63000000000028</v>
      </c>
      <c r="G27" s="5">
        <v>92.20999999999998</v>
      </c>
      <c r="H27" s="5">
        <v>485.28000000000037</v>
      </c>
      <c r="I27" s="5">
        <v>105.78000000000003</v>
      </c>
      <c r="J27" s="5">
        <v>486.69000000000005</v>
      </c>
      <c r="K27" s="10">
        <f t="shared" si="0"/>
        <v>0.21734574369722004</v>
      </c>
    </row>
    <row r="28" spans="1:11" x14ac:dyDescent="0.25">
      <c r="A28" s="4" t="s">
        <v>65</v>
      </c>
      <c r="B28" t="s">
        <v>113</v>
      </c>
      <c r="C28" s="5">
        <v>14</v>
      </c>
      <c r="D28" s="5">
        <v>350.65999999999985</v>
      </c>
      <c r="E28" s="5">
        <v>33.419999999999995</v>
      </c>
      <c r="F28" s="5">
        <v>349.77000000000004</v>
      </c>
      <c r="G28" s="5">
        <v>31.379999999999995</v>
      </c>
      <c r="H28" s="5">
        <v>359.31000000000006</v>
      </c>
      <c r="I28" s="5">
        <v>40.239999999999995</v>
      </c>
      <c r="J28" s="5">
        <v>347.25</v>
      </c>
      <c r="K28" s="10">
        <f t="shared" si="0"/>
        <v>0.11588192944564434</v>
      </c>
    </row>
    <row r="29" spans="1:11" x14ac:dyDescent="0.25">
      <c r="A29" s="4" t="s">
        <v>66</v>
      </c>
      <c r="B29" t="s">
        <v>114</v>
      </c>
      <c r="C29" s="5">
        <v>0.92</v>
      </c>
      <c r="D29" s="5">
        <v>103.57999999999998</v>
      </c>
      <c r="E29" s="5">
        <v>0.25</v>
      </c>
      <c r="F29" s="5">
        <v>123.94999999999999</v>
      </c>
      <c r="G29" s="5">
        <v>0.31</v>
      </c>
      <c r="H29" s="5">
        <v>123.29</v>
      </c>
      <c r="I29" s="5">
        <v>2</v>
      </c>
      <c r="J29" s="5">
        <v>123.42000000000003</v>
      </c>
      <c r="K29" s="10">
        <f t="shared" si="0"/>
        <v>1.6204829039053632E-2</v>
      </c>
    </row>
    <row r="30" spans="1:11" x14ac:dyDescent="0.25">
      <c r="A30" s="4" t="s">
        <v>29</v>
      </c>
      <c r="B30" t="s">
        <v>115</v>
      </c>
      <c r="C30" s="5">
        <v>5.5600000000000014</v>
      </c>
      <c r="D30" s="5">
        <v>390.73000000000008</v>
      </c>
      <c r="E30" s="5">
        <v>11.22</v>
      </c>
      <c r="F30" s="5">
        <v>392.00999999999988</v>
      </c>
      <c r="G30" s="5">
        <v>17.150000000000002</v>
      </c>
      <c r="H30" s="5">
        <v>398.00000000000023</v>
      </c>
      <c r="I30" s="5">
        <v>22.619999999999997</v>
      </c>
      <c r="J30" s="5">
        <v>380.83000000000021</v>
      </c>
      <c r="K30" s="10">
        <f t="shared" si="0"/>
        <v>5.9396581151694945E-2</v>
      </c>
    </row>
    <row r="31" spans="1:11" x14ac:dyDescent="0.25">
      <c r="A31" s="4" t="s">
        <v>30</v>
      </c>
      <c r="B31" t="s">
        <v>116</v>
      </c>
      <c r="C31" s="5">
        <v>10.43</v>
      </c>
      <c r="D31" s="5">
        <v>248.74999999999997</v>
      </c>
      <c r="E31" s="5">
        <v>10.380000000000003</v>
      </c>
      <c r="F31" s="5">
        <v>275.0100000000001</v>
      </c>
      <c r="G31" s="5">
        <v>8.6700000000000017</v>
      </c>
      <c r="H31" s="5">
        <v>285.79000000000008</v>
      </c>
      <c r="I31" s="5">
        <v>19.990000000000002</v>
      </c>
      <c r="J31" s="5">
        <v>297.81999999999994</v>
      </c>
      <c r="K31" s="10">
        <f t="shared" si="0"/>
        <v>6.7121079846887408E-2</v>
      </c>
    </row>
    <row r="32" spans="1:11" x14ac:dyDescent="0.25">
      <c r="A32" s="4" t="s">
        <v>7</v>
      </c>
      <c r="B32" t="s">
        <v>117</v>
      </c>
      <c r="C32" s="5">
        <v>55.2</v>
      </c>
      <c r="D32" s="5">
        <v>489.6400000000001</v>
      </c>
      <c r="E32" s="5">
        <v>73.609999999999985</v>
      </c>
      <c r="F32" s="5">
        <v>508.17000000000013</v>
      </c>
      <c r="G32" s="5">
        <v>66.84</v>
      </c>
      <c r="H32" s="5">
        <v>552.88000000000011</v>
      </c>
      <c r="I32" s="5">
        <v>79.139999999999958</v>
      </c>
      <c r="J32" s="5">
        <v>557.56000000000029</v>
      </c>
      <c r="K32" s="10">
        <f t="shared" si="0"/>
        <v>0.14193988090967774</v>
      </c>
    </row>
    <row r="33" spans="1:11" x14ac:dyDescent="0.25">
      <c r="A33" s="4" t="s">
        <v>31</v>
      </c>
      <c r="B33" t="s">
        <v>118</v>
      </c>
      <c r="C33" s="5">
        <v>1.51</v>
      </c>
      <c r="D33" s="5">
        <v>573.9599999999997</v>
      </c>
      <c r="E33" s="5">
        <v>2.1799999999999997</v>
      </c>
      <c r="F33" s="5">
        <v>584.44000000000017</v>
      </c>
      <c r="G33" s="5">
        <v>-1.07</v>
      </c>
      <c r="H33" s="5">
        <v>586.53999999999985</v>
      </c>
      <c r="I33" s="5">
        <v>0.45</v>
      </c>
      <c r="J33" s="5">
        <v>585.69000000000028</v>
      </c>
      <c r="K33" s="10">
        <f t="shared" si="0"/>
        <v>7.6832454028581633E-4</v>
      </c>
    </row>
    <row r="34" spans="1:11" x14ac:dyDescent="0.25">
      <c r="A34" s="4" t="s">
        <v>8</v>
      </c>
      <c r="B34" t="s">
        <v>88</v>
      </c>
      <c r="C34" s="5">
        <v>0</v>
      </c>
      <c r="D34" s="5">
        <v>105.76000000000002</v>
      </c>
      <c r="E34" s="5">
        <v>0</v>
      </c>
      <c r="F34" s="5">
        <v>104.40000000000002</v>
      </c>
      <c r="G34" s="5">
        <v>0</v>
      </c>
      <c r="H34" s="5">
        <v>98.96</v>
      </c>
      <c r="I34" s="5">
        <v>0</v>
      </c>
      <c r="J34" s="5">
        <v>89.65</v>
      </c>
      <c r="K34" s="10">
        <f t="shared" si="0"/>
        <v>0</v>
      </c>
    </row>
    <row r="35" spans="1:11" x14ac:dyDescent="0.25">
      <c r="A35" s="4" t="s">
        <v>18</v>
      </c>
      <c r="B35" t="s">
        <v>75</v>
      </c>
      <c r="C35" s="5">
        <v>17.32</v>
      </c>
      <c r="D35" s="5">
        <v>1000.4499999999998</v>
      </c>
      <c r="E35" s="5">
        <v>37.83</v>
      </c>
      <c r="F35" s="5">
        <v>1038.3000000000004</v>
      </c>
      <c r="G35" s="5">
        <v>29.2</v>
      </c>
      <c r="H35" s="5">
        <v>1079.1399999999996</v>
      </c>
      <c r="I35" s="5">
        <v>30.57</v>
      </c>
      <c r="J35" s="5">
        <v>1065.0499999999997</v>
      </c>
      <c r="K35" s="10">
        <f t="shared" si="0"/>
        <v>2.8702877799164365E-2</v>
      </c>
    </row>
    <row r="36" spans="1:11" x14ac:dyDescent="0.25">
      <c r="A36" s="4" t="s">
        <v>67</v>
      </c>
      <c r="B36" t="s">
        <v>119</v>
      </c>
      <c r="C36" s="5">
        <v>19.72</v>
      </c>
      <c r="D36" s="5">
        <v>515.8599999999999</v>
      </c>
      <c r="E36" s="5">
        <v>17.38</v>
      </c>
      <c r="F36" s="5">
        <v>528.75</v>
      </c>
      <c r="G36" s="5">
        <v>15.57</v>
      </c>
      <c r="H36" s="5">
        <v>552.85</v>
      </c>
      <c r="I36" s="5">
        <v>10.77</v>
      </c>
      <c r="J36" s="5">
        <v>558.22</v>
      </c>
      <c r="K36" s="10">
        <f t="shared" si="0"/>
        <v>1.9293468524954317E-2</v>
      </c>
    </row>
    <row r="37" spans="1:11" x14ac:dyDescent="0.25">
      <c r="A37" s="4" t="s">
        <v>32</v>
      </c>
      <c r="B37" t="s">
        <v>120</v>
      </c>
      <c r="C37" s="5">
        <v>23.89</v>
      </c>
      <c r="D37" s="5">
        <v>493.61</v>
      </c>
      <c r="E37" s="5">
        <v>31.38</v>
      </c>
      <c r="F37" s="5">
        <v>483.38000000000011</v>
      </c>
      <c r="G37" s="5">
        <v>28.229999999999997</v>
      </c>
      <c r="H37" s="5">
        <v>500.09000000000009</v>
      </c>
      <c r="I37" s="5">
        <v>36.99</v>
      </c>
      <c r="J37" s="5">
        <v>492.77</v>
      </c>
      <c r="K37" s="10">
        <f t="shared" si="0"/>
        <v>7.5065446354282944E-2</v>
      </c>
    </row>
    <row r="38" spans="1:11" x14ac:dyDescent="0.25">
      <c r="A38" s="4" t="s">
        <v>68</v>
      </c>
      <c r="B38" t="s">
        <v>121</v>
      </c>
      <c r="C38" s="5">
        <v>18.36</v>
      </c>
      <c r="D38" s="5">
        <v>165.61999999999998</v>
      </c>
      <c r="E38" s="5">
        <v>27.71</v>
      </c>
      <c r="F38" s="5">
        <v>156.09999999999997</v>
      </c>
      <c r="G38" s="5">
        <v>29.98</v>
      </c>
      <c r="H38" s="5">
        <v>165.67999999999998</v>
      </c>
      <c r="I38" s="5">
        <v>31.750000000000004</v>
      </c>
      <c r="J38" s="5">
        <v>163.41999999999999</v>
      </c>
      <c r="K38" s="10">
        <f t="shared" si="0"/>
        <v>0.19428466527964758</v>
      </c>
    </row>
    <row r="39" spans="1:11" x14ac:dyDescent="0.25">
      <c r="A39" s="4" t="s">
        <v>33</v>
      </c>
      <c r="B39" t="s">
        <v>122</v>
      </c>
      <c r="C39" s="5">
        <v>4.410000000000001</v>
      </c>
      <c r="D39" s="5">
        <v>360.08000000000021</v>
      </c>
      <c r="E39" s="5">
        <v>13.43</v>
      </c>
      <c r="F39" s="5">
        <v>353.18000000000023</v>
      </c>
      <c r="G39" s="5">
        <v>9.490000000000002</v>
      </c>
      <c r="H39" s="5">
        <v>375.78000000000014</v>
      </c>
      <c r="I39" s="5">
        <v>15.680000000000001</v>
      </c>
      <c r="J39" s="5">
        <v>371.47000000000008</v>
      </c>
      <c r="K39" s="10">
        <f t="shared" si="0"/>
        <v>4.2210676501467141E-2</v>
      </c>
    </row>
    <row r="40" spans="1:11" x14ac:dyDescent="0.25">
      <c r="A40" s="4" t="s">
        <v>34</v>
      </c>
      <c r="B40" t="s">
        <v>123</v>
      </c>
      <c r="C40" s="5">
        <v>13.660000000000002</v>
      </c>
      <c r="D40" s="5">
        <v>290.75999999999993</v>
      </c>
      <c r="E40" s="5">
        <v>27.9</v>
      </c>
      <c r="F40" s="5">
        <v>281.7399999999999</v>
      </c>
      <c r="G40" s="5">
        <v>20.779999999999998</v>
      </c>
      <c r="H40" s="5">
        <v>292.62999999999994</v>
      </c>
      <c r="I40" s="5">
        <v>22.610000000000003</v>
      </c>
      <c r="J40" s="5">
        <v>305.02999999999992</v>
      </c>
      <c r="K40" s="10">
        <f t="shared" si="0"/>
        <v>7.4123856669835786E-2</v>
      </c>
    </row>
    <row r="41" spans="1:11" x14ac:dyDescent="0.25">
      <c r="A41" s="4" t="s">
        <v>50</v>
      </c>
      <c r="B41" t="s">
        <v>124</v>
      </c>
      <c r="C41" s="5">
        <v>22.630000000000003</v>
      </c>
      <c r="D41" s="5">
        <v>317.35000000000002</v>
      </c>
      <c r="E41" s="5">
        <v>30.450000000000006</v>
      </c>
      <c r="F41" s="5">
        <v>325.20000000000027</v>
      </c>
      <c r="G41" s="5">
        <v>40.79</v>
      </c>
      <c r="H41" s="5">
        <v>350.14000000000004</v>
      </c>
      <c r="I41" s="5">
        <v>34.92</v>
      </c>
      <c r="J41" s="5">
        <v>373.22000000000025</v>
      </c>
      <c r="K41" s="10">
        <f t="shared" si="0"/>
        <v>9.3564117678580944E-2</v>
      </c>
    </row>
    <row r="42" spans="1:11" x14ac:dyDescent="0.25">
      <c r="A42" s="4" t="s">
        <v>19</v>
      </c>
      <c r="B42" t="s">
        <v>78</v>
      </c>
      <c r="C42" s="5">
        <v>30.709999999999997</v>
      </c>
      <c r="D42" s="5">
        <v>247.11</v>
      </c>
      <c r="E42" s="5">
        <v>24.099999999999998</v>
      </c>
      <c r="F42" s="5">
        <v>265.38999999999993</v>
      </c>
      <c r="G42" s="5">
        <v>41.050000000000004</v>
      </c>
      <c r="H42" s="5">
        <v>265.79999999999995</v>
      </c>
      <c r="I42" s="5">
        <v>45.019999999999996</v>
      </c>
      <c r="J42" s="5">
        <v>278.46999999999997</v>
      </c>
      <c r="K42" s="10">
        <f t="shared" si="0"/>
        <v>0.16166912055158544</v>
      </c>
    </row>
    <row r="43" spans="1:11" x14ac:dyDescent="0.25">
      <c r="A43" s="4" t="s">
        <v>51</v>
      </c>
      <c r="B43" t="s">
        <v>125</v>
      </c>
      <c r="C43" s="5">
        <v>3.0500000000000003</v>
      </c>
      <c r="D43" s="5">
        <v>331.9700000000002</v>
      </c>
      <c r="E43" s="5">
        <v>3.2</v>
      </c>
      <c r="F43" s="5">
        <v>346.25000000000023</v>
      </c>
      <c r="G43" s="5">
        <v>3.2199999999999998</v>
      </c>
      <c r="H43" s="5">
        <v>363.5500000000003</v>
      </c>
      <c r="I43" s="5">
        <v>1.9899999999999995</v>
      </c>
      <c r="J43" s="5">
        <v>400.21000000000032</v>
      </c>
      <c r="K43" s="10">
        <f t="shared" si="0"/>
        <v>4.9723894955148494E-3</v>
      </c>
    </row>
    <row r="44" spans="1:11" x14ac:dyDescent="0.25">
      <c r="A44" s="4" t="s">
        <v>35</v>
      </c>
      <c r="B44" t="s">
        <v>126</v>
      </c>
      <c r="C44" s="5"/>
      <c r="D44" s="5">
        <v>62.179999999999986</v>
      </c>
      <c r="E44" s="5"/>
      <c r="F44" s="5">
        <v>57.59</v>
      </c>
      <c r="G44" s="5"/>
      <c r="H44" s="5">
        <v>54.530000000000008</v>
      </c>
      <c r="I44" s="5"/>
      <c r="J44" s="5">
        <v>59.879999999999995</v>
      </c>
      <c r="K44" s="10">
        <f t="shared" si="0"/>
        <v>0</v>
      </c>
    </row>
    <row r="45" spans="1:11" x14ac:dyDescent="0.25">
      <c r="A45" s="4" t="s">
        <v>20</v>
      </c>
      <c r="B45" t="s">
        <v>127</v>
      </c>
      <c r="C45" s="5">
        <v>23.52</v>
      </c>
      <c r="D45" s="5">
        <v>476.98000000000013</v>
      </c>
      <c r="E45" s="5">
        <v>28.549999999999997</v>
      </c>
      <c r="F45" s="5">
        <v>472.37000000000018</v>
      </c>
      <c r="G45" s="5">
        <v>21.71</v>
      </c>
      <c r="H45" s="5">
        <v>502.10000000000042</v>
      </c>
      <c r="I45" s="5">
        <v>41.010000000000005</v>
      </c>
      <c r="J45" s="5">
        <v>497.7900000000003</v>
      </c>
      <c r="K45" s="10">
        <f t="shared" si="0"/>
        <v>8.2384137889471423E-2</v>
      </c>
    </row>
    <row r="46" spans="1:11" x14ac:dyDescent="0.25">
      <c r="A46" s="4" t="s">
        <v>52</v>
      </c>
      <c r="B46" t="s">
        <v>128</v>
      </c>
      <c r="C46" s="5">
        <v>4.0999999999999996</v>
      </c>
      <c r="D46" s="5">
        <v>560.61999999999989</v>
      </c>
      <c r="E46" s="5">
        <v>8.5300000000000011</v>
      </c>
      <c r="F46" s="5">
        <v>558.67000000000007</v>
      </c>
      <c r="G46" s="5">
        <v>11.46</v>
      </c>
      <c r="H46" s="5">
        <v>578.95000000000005</v>
      </c>
      <c r="I46" s="5">
        <v>14.13</v>
      </c>
      <c r="J46" s="5">
        <v>623.63</v>
      </c>
      <c r="K46" s="10">
        <f t="shared" si="0"/>
        <v>2.2657665603001781E-2</v>
      </c>
    </row>
    <row r="47" spans="1:11" x14ac:dyDescent="0.25">
      <c r="A47" s="4" t="s">
        <v>53</v>
      </c>
      <c r="B47" t="s">
        <v>83</v>
      </c>
      <c r="C47" s="5">
        <v>3.81</v>
      </c>
      <c r="D47" s="5">
        <v>266.9799999999999</v>
      </c>
      <c r="E47" s="5">
        <v>15.649999999999999</v>
      </c>
      <c r="F47" s="5">
        <v>263.94999999999987</v>
      </c>
      <c r="G47" s="5">
        <v>7.0600000000000005</v>
      </c>
      <c r="H47" s="5">
        <v>272.61999999999978</v>
      </c>
      <c r="I47" s="5">
        <v>4.6100000000000003</v>
      </c>
      <c r="J47" s="5">
        <v>270.3399999999998</v>
      </c>
      <c r="K47" s="10">
        <f t="shared" si="0"/>
        <v>1.7052600429089307E-2</v>
      </c>
    </row>
    <row r="48" spans="1:11" x14ac:dyDescent="0.25">
      <c r="A48" s="4" t="s">
        <v>9</v>
      </c>
      <c r="B48" t="s">
        <v>129</v>
      </c>
      <c r="C48" s="5">
        <v>0</v>
      </c>
      <c r="D48" s="5">
        <v>63.14</v>
      </c>
      <c r="E48" s="5">
        <v>0</v>
      </c>
      <c r="F48" s="5">
        <v>61.349999999999994</v>
      </c>
      <c r="G48" s="5">
        <v>0</v>
      </c>
      <c r="H48" s="5">
        <v>59.779999999999994</v>
      </c>
      <c r="I48" s="5">
        <v>0</v>
      </c>
      <c r="J48" s="5">
        <v>63.999999999999986</v>
      </c>
      <c r="K48" s="10">
        <f t="shared" si="0"/>
        <v>0</v>
      </c>
    </row>
    <row r="49" spans="1:11" x14ac:dyDescent="0.25">
      <c r="A49" s="4" t="s">
        <v>10</v>
      </c>
      <c r="B49" t="s">
        <v>87</v>
      </c>
      <c r="C49" s="5">
        <v>5.4399999999999995</v>
      </c>
      <c r="D49" s="5">
        <v>774.85999999999945</v>
      </c>
      <c r="E49" s="5">
        <v>13.889999999999999</v>
      </c>
      <c r="F49" s="5">
        <v>788.06999999999948</v>
      </c>
      <c r="G49" s="5">
        <v>-2.1999999999999993</v>
      </c>
      <c r="H49" s="5">
        <v>809.49999999999943</v>
      </c>
      <c r="I49" s="5">
        <v>8.75</v>
      </c>
      <c r="J49" s="5">
        <v>813.22</v>
      </c>
      <c r="K49" s="10">
        <f t="shared" si="0"/>
        <v>1.075969602321635E-2</v>
      </c>
    </row>
    <row r="50" spans="1:11" x14ac:dyDescent="0.25">
      <c r="A50" s="4" t="s">
        <v>54</v>
      </c>
      <c r="B50" t="s">
        <v>81</v>
      </c>
      <c r="C50" s="5">
        <v>6.3</v>
      </c>
      <c r="D50" s="5">
        <v>406.38999999999993</v>
      </c>
      <c r="E50" s="5">
        <v>10.33</v>
      </c>
      <c r="F50" s="5">
        <v>407.17000000000007</v>
      </c>
      <c r="G50" s="5">
        <v>8.3800000000000008</v>
      </c>
      <c r="H50" s="5">
        <v>412.10000000000008</v>
      </c>
      <c r="I50" s="5">
        <v>10.41</v>
      </c>
      <c r="J50" s="5">
        <v>423.60000000000036</v>
      </c>
      <c r="K50" s="10">
        <f t="shared" si="0"/>
        <v>2.4575070821529724E-2</v>
      </c>
    </row>
    <row r="51" spans="1:11" x14ac:dyDescent="0.25">
      <c r="A51" s="4" t="s">
        <v>40</v>
      </c>
      <c r="B51" t="s">
        <v>76</v>
      </c>
      <c r="C51" s="5">
        <v>12.18</v>
      </c>
      <c r="D51" s="5">
        <v>230.74999999999989</v>
      </c>
      <c r="E51" s="5">
        <v>17.5</v>
      </c>
      <c r="F51" s="5">
        <v>235.63999999999987</v>
      </c>
      <c r="G51" s="5">
        <v>15.480000000000002</v>
      </c>
      <c r="H51" s="5">
        <v>240.39000000000004</v>
      </c>
      <c r="I51" s="5">
        <v>21.93</v>
      </c>
      <c r="J51" s="5">
        <v>233.79999999999995</v>
      </c>
      <c r="K51" s="10">
        <f t="shared" si="0"/>
        <v>9.3798118049615076E-2</v>
      </c>
    </row>
    <row r="52" spans="1:11" x14ac:dyDescent="0.25">
      <c r="A52" s="4" t="s">
        <v>21</v>
      </c>
      <c r="B52" t="s">
        <v>84</v>
      </c>
      <c r="C52" s="5">
        <v>9.1800000000000015</v>
      </c>
      <c r="D52" s="5">
        <v>265.74999999999994</v>
      </c>
      <c r="E52" s="5">
        <v>11.819999999999999</v>
      </c>
      <c r="F52" s="5">
        <v>264.39</v>
      </c>
      <c r="G52" s="5">
        <v>12.549999999999999</v>
      </c>
      <c r="H52" s="5">
        <v>263.45999999999992</v>
      </c>
      <c r="I52" s="5">
        <v>15.090000000000002</v>
      </c>
      <c r="J52" s="5">
        <v>252.30999999999989</v>
      </c>
      <c r="K52" s="10">
        <f t="shared" si="0"/>
        <v>5.9807379810550544E-2</v>
      </c>
    </row>
    <row r="53" spans="1:11" x14ac:dyDescent="0.25">
      <c r="A53" s="4" t="s">
        <v>55</v>
      </c>
      <c r="B53" t="s">
        <v>130</v>
      </c>
      <c r="C53" s="5">
        <v>85.549999999999983</v>
      </c>
      <c r="D53" s="5">
        <v>555.05999999999995</v>
      </c>
      <c r="E53" s="5">
        <v>90.970000000000013</v>
      </c>
      <c r="F53" s="5">
        <v>552.54000000000008</v>
      </c>
      <c r="G53" s="5">
        <v>158.56</v>
      </c>
      <c r="H53" s="5">
        <v>1859.6899999999998</v>
      </c>
      <c r="I53" s="5">
        <v>92.940000000000012</v>
      </c>
      <c r="J53" s="5">
        <v>1995.12</v>
      </c>
      <c r="K53" s="10">
        <f t="shared" si="0"/>
        <v>4.6583664140502835E-2</v>
      </c>
    </row>
    <row r="54" spans="1:11" x14ac:dyDescent="0.25">
      <c r="A54" s="4" t="s">
        <v>56</v>
      </c>
      <c r="B54" t="s">
        <v>131</v>
      </c>
      <c r="C54" s="5">
        <v>4.2</v>
      </c>
      <c r="D54" s="5">
        <v>79.069999999999993</v>
      </c>
      <c r="E54" s="5">
        <v>4.2200000000000006</v>
      </c>
      <c r="F54" s="5">
        <v>80.62</v>
      </c>
      <c r="G54" s="5">
        <v>0.53</v>
      </c>
      <c r="H54" s="5">
        <v>85.16</v>
      </c>
      <c r="I54" s="5">
        <v>1.17</v>
      </c>
      <c r="J54" s="5">
        <v>85.46</v>
      </c>
      <c r="K54" s="10">
        <f t="shared" si="0"/>
        <v>1.3690615492628131E-2</v>
      </c>
    </row>
    <row r="55" spans="1:11" x14ac:dyDescent="0.25">
      <c r="A55" s="4" t="s">
        <v>11</v>
      </c>
      <c r="B55" t="s">
        <v>132</v>
      </c>
      <c r="C55" s="5">
        <v>83.309999999999974</v>
      </c>
      <c r="D55" s="5">
        <v>1273.3699999999992</v>
      </c>
      <c r="E55" s="5">
        <v>106.01000000000003</v>
      </c>
      <c r="F55" s="5">
        <v>1247.6599999999994</v>
      </c>
      <c r="G55" s="5">
        <v>117.15000000000003</v>
      </c>
      <c r="H55" s="5">
        <v>1259.0499999999986</v>
      </c>
      <c r="I55" s="5">
        <v>113.09000000000002</v>
      </c>
      <c r="J55" s="5">
        <v>1260.4000000000001</v>
      </c>
      <c r="K55" s="10">
        <f t="shared" si="0"/>
        <v>8.9725483973341805E-2</v>
      </c>
    </row>
    <row r="56" spans="1:11" x14ac:dyDescent="0.25">
      <c r="A56" s="4" t="s">
        <v>36</v>
      </c>
      <c r="B56" t="s">
        <v>133</v>
      </c>
      <c r="C56" s="5">
        <v>4.05</v>
      </c>
      <c r="D56" s="5">
        <v>664.02999999999952</v>
      </c>
      <c r="E56" s="5">
        <v>4.8800000000000008</v>
      </c>
      <c r="F56" s="5">
        <v>650.44999999999925</v>
      </c>
      <c r="G56" s="5">
        <v>4.6300000000000008</v>
      </c>
      <c r="H56" s="5">
        <v>659.17999999999927</v>
      </c>
      <c r="I56" s="5">
        <v>6.7399999999999993</v>
      </c>
      <c r="J56" s="5">
        <v>666.93999999999915</v>
      </c>
      <c r="K56" s="10">
        <f t="shared" si="0"/>
        <v>1.0105856598794507E-2</v>
      </c>
    </row>
    <row r="57" spans="1:11" x14ac:dyDescent="0.25">
      <c r="A57" s="4" t="s">
        <v>57</v>
      </c>
      <c r="B57" t="s">
        <v>134</v>
      </c>
      <c r="C57" s="5">
        <v>49.010000000000012</v>
      </c>
      <c r="D57" s="5">
        <v>425.45999999999992</v>
      </c>
      <c r="E57" s="5">
        <v>57.859999999999992</v>
      </c>
      <c r="F57" s="5">
        <v>425.53</v>
      </c>
      <c r="G57" s="5">
        <v>50.200000000000024</v>
      </c>
      <c r="H57" s="5">
        <v>455.52999999999992</v>
      </c>
      <c r="I57" s="5">
        <v>35.420000000000009</v>
      </c>
      <c r="J57" s="5">
        <v>471.16</v>
      </c>
      <c r="K57" s="10">
        <f t="shared" si="0"/>
        <v>7.5176160964428237E-2</v>
      </c>
    </row>
    <row r="58" spans="1:11" x14ac:dyDescent="0.25">
      <c r="A58" s="4" t="s">
        <v>60</v>
      </c>
      <c r="B58" t="s">
        <v>135</v>
      </c>
      <c r="C58" s="5">
        <v>41.77</v>
      </c>
      <c r="D58" s="5">
        <v>712.17000000000007</v>
      </c>
      <c r="E58" s="5">
        <v>60.960000000000008</v>
      </c>
      <c r="F58" s="5">
        <v>703.88000000000056</v>
      </c>
      <c r="G58" s="5">
        <v>53.449999999999996</v>
      </c>
      <c r="H58" s="5">
        <v>737.11999999999989</v>
      </c>
      <c r="I58" s="5">
        <v>52.980000000000004</v>
      </c>
      <c r="J58" s="5">
        <v>766.76999999999987</v>
      </c>
      <c r="K58" s="10">
        <f t="shared" si="0"/>
        <v>6.9095035017019468E-2</v>
      </c>
    </row>
    <row r="59" spans="1:11" x14ac:dyDescent="0.25">
      <c r="A59" s="4" t="s">
        <v>58</v>
      </c>
      <c r="B59" t="s">
        <v>136</v>
      </c>
      <c r="C59" s="5">
        <v>147.32999999999998</v>
      </c>
      <c r="D59" s="5">
        <v>6.7299999999999995</v>
      </c>
      <c r="E59" s="5">
        <v>-0.75</v>
      </c>
      <c r="F59" s="5">
        <v>27.090000000000003</v>
      </c>
      <c r="G59" s="5">
        <v>0.43000000000000005</v>
      </c>
      <c r="H59" s="5">
        <v>26.39</v>
      </c>
      <c r="I59" s="5">
        <v>3.4400000000000004</v>
      </c>
      <c r="J59" s="5">
        <v>26.110000000000003</v>
      </c>
      <c r="K59" s="10">
        <f t="shared" si="0"/>
        <v>0.13175028724626581</v>
      </c>
    </row>
    <row r="60" spans="1:11" x14ac:dyDescent="0.25">
      <c r="A60" t="s">
        <v>144</v>
      </c>
      <c r="B60" t="s">
        <v>86</v>
      </c>
      <c r="C60" s="5">
        <v>4.3600000000000003</v>
      </c>
      <c r="D60" s="5">
        <v>159.04000000000002</v>
      </c>
      <c r="E60" s="5">
        <v>4.97</v>
      </c>
      <c r="F60" s="5">
        <v>157.98000000000002</v>
      </c>
      <c r="G60" s="5">
        <v>2.87</v>
      </c>
      <c r="H60" s="5">
        <v>167.24000000000007</v>
      </c>
      <c r="I60" s="5">
        <v>2.09</v>
      </c>
      <c r="J60" s="5">
        <v>173.70999999999995</v>
      </c>
      <c r="K60" s="10">
        <f t="shared" si="0"/>
        <v>1.2031546830925107E-2</v>
      </c>
    </row>
    <row r="61" spans="1:11" x14ac:dyDescent="0.25">
      <c r="A61" t="s">
        <v>138</v>
      </c>
      <c r="B61" t="s">
        <v>137</v>
      </c>
      <c r="C61" s="5">
        <v>0</v>
      </c>
      <c r="D61" s="5">
        <v>3</v>
      </c>
      <c r="E61" s="5">
        <v>0</v>
      </c>
      <c r="F61" s="5">
        <v>3</v>
      </c>
      <c r="G61" s="5">
        <v>0</v>
      </c>
      <c r="H61" s="5">
        <v>3</v>
      </c>
      <c r="I61" s="5">
        <v>0</v>
      </c>
      <c r="J61" s="5">
        <v>3</v>
      </c>
      <c r="K61" s="10">
        <f t="shared" si="0"/>
        <v>0</v>
      </c>
    </row>
    <row r="62" spans="1:11" x14ac:dyDescent="0.25">
      <c r="B62" t="s">
        <v>70</v>
      </c>
      <c r="C62" s="5">
        <v>1191.5899999999997</v>
      </c>
      <c r="D62" s="5">
        <v>19894.109999999997</v>
      </c>
      <c r="E62" s="5">
        <v>1336.22</v>
      </c>
      <c r="F62" s="5">
        <v>20180.480000000003</v>
      </c>
      <c r="G62" s="5">
        <v>1321.59</v>
      </c>
      <c r="H62" s="5">
        <v>22112.079999999998</v>
      </c>
      <c r="I62" s="5">
        <v>1401.3100000000002</v>
      </c>
      <c r="J62" s="5">
        <v>22471.05</v>
      </c>
      <c r="K62" s="10">
        <f t="shared" si="0"/>
        <v>6.2360681855098014E-2</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E67"/>
  <sheetViews>
    <sheetView zoomScale="80" zoomScaleNormal="80" workbookViewId="0">
      <selection activeCell="B67" sqref="B67:E67"/>
    </sheetView>
  </sheetViews>
  <sheetFormatPr defaultColWidth="33.5703125" defaultRowHeight="14.45" customHeight="1" x14ac:dyDescent="0.25"/>
  <cols>
    <col min="2" max="3" width="33.5703125" style="135"/>
    <col min="4" max="4" width="25" style="135" customWidth="1"/>
    <col min="5" max="5" width="33.5703125" style="135"/>
  </cols>
  <sheetData>
    <row r="1" spans="1:5" ht="14.45" customHeight="1" thickBot="1" x14ac:dyDescent="0.3"/>
    <row r="2" spans="1:5" ht="14.45" customHeight="1" thickBot="1" x14ac:dyDescent="0.3">
      <c r="A2" s="182" t="s">
        <v>74</v>
      </c>
      <c r="B2" s="442" t="s">
        <v>359</v>
      </c>
      <c r="C2" s="443" t="s">
        <v>346</v>
      </c>
      <c r="D2" s="443" t="s">
        <v>360</v>
      </c>
      <c r="E2" s="444" t="s">
        <v>344</v>
      </c>
    </row>
    <row r="3" spans="1:5" ht="14.45" customHeight="1" x14ac:dyDescent="0.25">
      <c r="A3" s="252" t="s">
        <v>6</v>
      </c>
      <c r="B3" s="135">
        <v>5.9024577572964674</v>
      </c>
      <c r="C3" s="135">
        <v>5.8294930875576041</v>
      </c>
      <c r="D3" s="135">
        <v>6.0522273425499229</v>
      </c>
      <c r="E3" s="135">
        <v>5.9280593958013315</v>
      </c>
    </row>
    <row r="4" spans="1:5" ht="14.45" customHeight="1" x14ac:dyDescent="0.25">
      <c r="A4" s="71" t="s">
        <v>12</v>
      </c>
      <c r="B4" s="135">
        <v>7.5794956140350873</v>
      </c>
      <c r="C4" s="135">
        <v>7.036732456140351</v>
      </c>
      <c r="D4" s="135">
        <v>7.5356359649122808</v>
      </c>
      <c r="E4" s="135">
        <v>7.3839546783625725</v>
      </c>
    </row>
    <row r="5" spans="1:5" ht="14.45" customHeight="1" x14ac:dyDescent="0.25">
      <c r="A5" s="71" t="s">
        <v>22</v>
      </c>
      <c r="B5" s="135">
        <v>5.7556935817805384</v>
      </c>
      <c r="C5" s="135">
        <v>5.8825051759834368</v>
      </c>
      <c r="D5" s="135">
        <v>6.4725672877846794</v>
      </c>
      <c r="E5" s="135">
        <v>6.036922015182884</v>
      </c>
    </row>
    <row r="6" spans="1:5" ht="14.45" customHeight="1" x14ac:dyDescent="0.25">
      <c r="A6" s="71" t="s">
        <v>41</v>
      </c>
      <c r="B6" s="135">
        <v>6.1140661938534278</v>
      </c>
      <c r="C6" s="135">
        <v>5.9781323877068555</v>
      </c>
      <c r="D6" s="135">
        <v>6.6282505910165481</v>
      </c>
      <c r="E6" s="135">
        <v>6.2401497241922774</v>
      </c>
    </row>
    <row r="7" spans="1:5" ht="14.45" customHeight="1" thickBot="1" x14ac:dyDescent="0.3">
      <c r="A7" s="254" t="s">
        <v>61</v>
      </c>
      <c r="B7" s="135">
        <v>6.9135802469135799</v>
      </c>
      <c r="C7" s="135">
        <v>6.5277777777777777</v>
      </c>
      <c r="D7" s="135">
        <v>7.2608024691358022</v>
      </c>
      <c r="E7" s="135">
        <v>6.9007201646090541</v>
      </c>
    </row>
    <row r="9" spans="1:5" ht="14.45" customHeight="1" thickBot="1" x14ac:dyDescent="0.3"/>
    <row r="10" spans="1:5" ht="14.45" customHeight="1" thickBot="1" x14ac:dyDescent="0.3">
      <c r="A10" s="182" t="s">
        <v>73</v>
      </c>
      <c r="B10" s="442" t="s">
        <v>359</v>
      </c>
      <c r="C10" s="443" t="s">
        <v>346</v>
      </c>
      <c r="D10" s="443" t="s">
        <v>360</v>
      </c>
      <c r="E10" s="444" t="s">
        <v>344</v>
      </c>
    </row>
    <row r="11" spans="1:5" ht="14.45" customHeight="1" x14ac:dyDescent="0.25">
      <c r="A11" s="32" t="s">
        <v>23</v>
      </c>
      <c r="B11" s="135">
        <v>4.9637681159420293</v>
      </c>
      <c r="C11" s="135">
        <v>5.6038647342995169</v>
      </c>
      <c r="D11" s="135">
        <v>6.4492753623188408</v>
      </c>
      <c r="E11" s="445">
        <v>5.6723027375201296</v>
      </c>
    </row>
    <row r="12" spans="1:5" ht="14.45" customHeight="1" x14ac:dyDescent="0.25">
      <c r="A12" s="33" t="s">
        <v>62</v>
      </c>
      <c r="B12" s="135">
        <v>7.083333333333333</v>
      </c>
      <c r="C12" s="135">
        <v>6.666666666666667</v>
      </c>
      <c r="D12" s="135">
        <v>7.708333333333333</v>
      </c>
      <c r="E12" s="445">
        <v>7.1527777777777777</v>
      </c>
    </row>
    <row r="13" spans="1:5" ht="14.45" customHeight="1" x14ac:dyDescent="0.25">
      <c r="A13" s="33" t="s">
        <v>42</v>
      </c>
      <c r="B13" s="135">
        <v>5.833333333333333</v>
      </c>
      <c r="C13" s="135">
        <v>5.833333333333333</v>
      </c>
      <c r="D13" s="135">
        <v>6.0964912280701755</v>
      </c>
      <c r="E13" s="445">
        <v>5.9210526315789478</v>
      </c>
    </row>
    <row r="14" spans="1:5" ht="14.45" customHeight="1" x14ac:dyDescent="0.25">
      <c r="A14" s="33" t="s">
        <v>63</v>
      </c>
      <c r="B14" s="135">
        <v>7.4074074074074074</v>
      </c>
      <c r="C14" s="135">
        <v>7.0370370370370372</v>
      </c>
      <c r="D14" s="135">
        <v>8.0555555555555554</v>
      </c>
      <c r="E14" s="445">
        <v>7.5</v>
      </c>
    </row>
    <row r="15" spans="1:5" ht="14.45" customHeight="1" x14ac:dyDescent="0.25">
      <c r="A15" s="33" t="s">
        <v>13</v>
      </c>
      <c r="B15" s="135">
        <v>8.1481481481481488</v>
      </c>
      <c r="C15" s="135">
        <v>8.3333333333333339</v>
      </c>
      <c r="D15" s="135">
        <v>8.2407407407407405</v>
      </c>
      <c r="E15" s="445">
        <v>8.2407407407407405</v>
      </c>
    </row>
    <row r="16" spans="1:5" ht="14.45" customHeight="1" x14ac:dyDescent="0.25">
      <c r="A16" s="356" t="s">
        <v>3</v>
      </c>
      <c r="B16" s="446"/>
      <c r="C16" s="446"/>
      <c r="D16" s="446"/>
      <c r="E16" s="396"/>
    </row>
    <row r="17" spans="1:5" ht="14.45" customHeight="1" x14ac:dyDescent="0.25">
      <c r="A17" s="33" t="s">
        <v>24</v>
      </c>
      <c r="B17" s="135">
        <v>6.317204301075269</v>
      </c>
      <c r="C17" s="135">
        <v>6.075268817204301</v>
      </c>
      <c r="D17" s="135">
        <v>7.043010752688172</v>
      </c>
      <c r="E17" s="445">
        <v>6.478494623655914</v>
      </c>
    </row>
    <row r="18" spans="1:5" ht="14.45" customHeight="1" x14ac:dyDescent="0.25">
      <c r="A18" s="33" t="s">
        <v>43</v>
      </c>
      <c r="B18" s="135">
        <v>5.8552631578947372</v>
      </c>
      <c r="C18" s="135">
        <v>5.7456140350877192</v>
      </c>
      <c r="D18" s="135">
        <v>6.4473684210526319</v>
      </c>
      <c r="E18" s="445">
        <v>6.0160818713450297</v>
      </c>
    </row>
    <row r="19" spans="1:5" ht="14.45" customHeight="1" x14ac:dyDescent="0.25">
      <c r="A19" s="356" t="s">
        <v>5</v>
      </c>
      <c r="B19" s="446"/>
      <c r="C19" s="446"/>
      <c r="D19" s="446"/>
      <c r="E19" s="396"/>
    </row>
    <row r="20" spans="1:5" ht="14.45" customHeight="1" x14ac:dyDescent="0.25">
      <c r="A20" s="357" t="s">
        <v>14</v>
      </c>
      <c r="B20" s="135">
        <v>7.291666666666667</v>
      </c>
      <c r="C20" s="135">
        <v>5.104166666666667</v>
      </c>
      <c r="D20" s="135">
        <v>8.0208333333333339</v>
      </c>
      <c r="E20" s="518">
        <v>6.8055555555555562</v>
      </c>
    </row>
    <row r="21" spans="1:5" ht="14.45" customHeight="1" x14ac:dyDescent="0.25">
      <c r="A21" s="33" t="s">
        <v>44</v>
      </c>
      <c r="B21" s="135">
        <v>6.25</v>
      </c>
      <c r="C21" s="135">
        <v>6.458333333333333</v>
      </c>
      <c r="D21" s="135">
        <v>5.9375</v>
      </c>
      <c r="E21" s="445">
        <v>6.2152777777777777</v>
      </c>
    </row>
    <row r="22" spans="1:5" ht="14.45" customHeight="1" x14ac:dyDescent="0.25">
      <c r="A22" s="33" t="s">
        <v>64</v>
      </c>
      <c r="B22" s="135">
        <v>7.083333333333333</v>
      </c>
      <c r="C22" s="135">
        <v>7.708333333333333</v>
      </c>
      <c r="D22" s="135">
        <v>7.916666666666667</v>
      </c>
      <c r="E22" s="445">
        <v>7.5694444444444429</v>
      </c>
    </row>
    <row r="23" spans="1:5" ht="14.45" customHeight="1" x14ac:dyDescent="0.25">
      <c r="A23" s="33" t="s">
        <v>15</v>
      </c>
      <c r="B23" s="135">
        <v>6.9675925925925926</v>
      </c>
      <c r="C23" s="135">
        <v>6.8981481481481479</v>
      </c>
      <c r="D23" s="135">
        <v>6.8981481481481479</v>
      </c>
      <c r="E23" s="445">
        <v>6.9212962962962976</v>
      </c>
    </row>
    <row r="24" spans="1:5" ht="14.45" customHeight="1" x14ac:dyDescent="0.25">
      <c r="A24" s="33" t="s">
        <v>45</v>
      </c>
      <c r="B24" s="135">
        <v>6.0952380952380949</v>
      </c>
      <c r="C24" s="135">
        <v>6.3095238095238093</v>
      </c>
      <c r="D24" s="135">
        <v>6.833333333333333</v>
      </c>
      <c r="E24" s="445">
        <v>6.412698412698413</v>
      </c>
    </row>
    <row r="25" spans="1:5" ht="14.45" customHeight="1" x14ac:dyDescent="0.25">
      <c r="A25" s="33" t="s">
        <v>46</v>
      </c>
      <c r="B25" s="135">
        <v>7.5</v>
      </c>
      <c r="C25" s="135">
        <v>8.8888888888888893</v>
      </c>
      <c r="D25" s="135">
        <v>8.8888888888888893</v>
      </c>
      <c r="E25" s="445">
        <v>8.4259259259259274</v>
      </c>
    </row>
    <row r="26" spans="1:5" ht="14.45" customHeight="1" x14ac:dyDescent="0.25">
      <c r="A26" s="33" t="s">
        <v>47</v>
      </c>
      <c r="B26" s="135">
        <v>4.583333333333333</v>
      </c>
      <c r="C26" s="135">
        <v>2.5</v>
      </c>
      <c r="D26" s="135">
        <v>5.833333333333333</v>
      </c>
      <c r="E26" s="445">
        <v>4.3055555555555554</v>
      </c>
    </row>
    <row r="27" spans="1:5" ht="14.45" customHeight="1" x14ac:dyDescent="0.25">
      <c r="A27" s="33" t="s">
        <v>25</v>
      </c>
      <c r="B27" s="135">
        <v>5.9523809523809526</v>
      </c>
      <c r="C27" s="135">
        <v>6.9047619047619051</v>
      </c>
      <c r="D27" s="135">
        <v>6.7857142857142856</v>
      </c>
      <c r="E27" s="135">
        <v>6.5476190476190474</v>
      </c>
    </row>
    <row r="28" spans="1:5" ht="14.45" customHeight="1" x14ac:dyDescent="0.25">
      <c r="A28" s="33" t="s">
        <v>16</v>
      </c>
      <c r="B28" s="135">
        <v>8.3333333333333339</v>
      </c>
      <c r="C28" s="135">
        <v>7.837301587301587</v>
      </c>
      <c r="D28" s="135">
        <v>7.7976190476190474</v>
      </c>
      <c r="E28" s="445">
        <v>7.9894179894179889</v>
      </c>
    </row>
    <row r="29" spans="1:5" ht="14.45" customHeight="1" x14ac:dyDescent="0.25">
      <c r="A29" s="33" t="s">
        <v>17</v>
      </c>
      <c r="B29" s="135">
        <v>7.6449275362318838</v>
      </c>
      <c r="C29" s="135">
        <v>7.7898550724637685</v>
      </c>
      <c r="D29" s="135">
        <v>7.6992753623188408</v>
      </c>
      <c r="E29" s="445">
        <v>7.7113526570048316</v>
      </c>
    </row>
    <row r="30" spans="1:5" ht="14.45" customHeight="1" x14ac:dyDescent="0.25">
      <c r="A30" s="33" t="s">
        <v>26</v>
      </c>
      <c r="B30" s="135">
        <v>4.3081761006289305</v>
      </c>
      <c r="C30" s="135">
        <v>4.5754716981132075</v>
      </c>
      <c r="D30" s="135">
        <v>5.6446540880503147</v>
      </c>
      <c r="E30" s="445">
        <v>4.8427672955974854</v>
      </c>
    </row>
    <row r="31" spans="1:5" ht="14.45" customHeight="1" x14ac:dyDescent="0.25">
      <c r="A31" s="33" t="s">
        <v>27</v>
      </c>
      <c r="B31" s="135">
        <v>7.9545454545454541</v>
      </c>
      <c r="C31" s="135">
        <v>7.4242424242424239</v>
      </c>
      <c r="D31" s="135">
        <v>7.2727272727272725</v>
      </c>
      <c r="E31" s="445">
        <v>7.5505050505050511</v>
      </c>
    </row>
    <row r="32" spans="1:5" ht="14.45" customHeight="1" x14ac:dyDescent="0.25">
      <c r="A32" s="33" t="s">
        <v>48</v>
      </c>
      <c r="B32" s="135">
        <v>6.416666666666667</v>
      </c>
      <c r="C32" s="135">
        <v>5.833333333333333</v>
      </c>
      <c r="D32" s="135">
        <v>7.166666666666667</v>
      </c>
      <c r="E32" s="445">
        <v>6.4722222222222232</v>
      </c>
    </row>
    <row r="33" spans="1:5" ht="14.45" customHeight="1" x14ac:dyDescent="0.25">
      <c r="A33" s="72" t="s">
        <v>28</v>
      </c>
      <c r="B33" s="135">
        <v>6.7222222222222223</v>
      </c>
      <c r="C33" s="135">
        <v>7.2222222222222223</v>
      </c>
      <c r="D33" s="135">
        <v>7.2777777777777777</v>
      </c>
      <c r="E33" s="445">
        <v>7.0740740740740753</v>
      </c>
    </row>
    <row r="34" spans="1:5" ht="14.45" customHeight="1" x14ac:dyDescent="0.25">
      <c r="A34" s="33" t="s">
        <v>49</v>
      </c>
      <c r="B34" s="135">
        <v>5.4629629629629628</v>
      </c>
      <c r="C34" s="135">
        <v>5.833333333333333</v>
      </c>
      <c r="D34" s="135">
        <v>6.666666666666667</v>
      </c>
      <c r="E34" s="445">
        <v>5.9876543209876543</v>
      </c>
    </row>
    <row r="35" spans="1:5" ht="14.45" customHeight="1" x14ac:dyDescent="0.25">
      <c r="A35" s="33" t="s">
        <v>65</v>
      </c>
      <c r="B35" s="135">
        <v>6.666666666666667</v>
      </c>
      <c r="C35" s="135">
        <v>7.166666666666667</v>
      </c>
      <c r="D35" s="135">
        <v>7.666666666666667</v>
      </c>
      <c r="E35" s="445">
        <v>7.1666666666666661</v>
      </c>
    </row>
    <row r="36" spans="1:5" ht="14.45" customHeight="1" x14ac:dyDescent="0.25">
      <c r="A36" s="33" t="s">
        <v>66</v>
      </c>
      <c r="B36" s="135">
        <v>7.03125</v>
      </c>
      <c r="C36" s="135">
        <v>6.979166666666667</v>
      </c>
      <c r="D36" s="135">
        <v>6.71875</v>
      </c>
      <c r="E36" s="445">
        <v>6.9097222222222223</v>
      </c>
    </row>
    <row r="37" spans="1:5" ht="14.45" customHeight="1" x14ac:dyDescent="0.25">
      <c r="A37" s="33" t="s">
        <v>29</v>
      </c>
      <c r="B37" s="135">
        <v>6.458333333333333</v>
      </c>
      <c r="C37" s="135">
        <v>5.7440476190476186</v>
      </c>
      <c r="D37" s="135">
        <v>6.8452380952380949</v>
      </c>
      <c r="E37" s="445">
        <v>6.3492063492063497</v>
      </c>
    </row>
    <row r="38" spans="1:5" ht="14.45" customHeight="1" x14ac:dyDescent="0.25">
      <c r="A38" s="72" t="s">
        <v>30</v>
      </c>
      <c r="B38" s="135">
        <v>6.0745614035087723</v>
      </c>
      <c r="C38" s="135">
        <v>5.5482456140350873</v>
      </c>
      <c r="D38" s="135">
        <v>6.2280701754385968</v>
      </c>
      <c r="E38" s="445">
        <v>5.9502923976608191</v>
      </c>
    </row>
    <row r="39" spans="1:5" ht="14.45" customHeight="1" x14ac:dyDescent="0.25">
      <c r="A39" s="33" t="s">
        <v>7</v>
      </c>
      <c r="B39" s="135">
        <v>6.6085271317829459</v>
      </c>
      <c r="C39" s="135">
        <v>5.6782945736434112</v>
      </c>
      <c r="D39" s="135">
        <v>5.7364341085271322</v>
      </c>
      <c r="E39" s="445">
        <v>6.0077519379844961</v>
      </c>
    </row>
    <row r="40" spans="1:5" ht="14.45" customHeight="1" x14ac:dyDescent="0.25">
      <c r="A40" s="33" t="s">
        <v>31</v>
      </c>
      <c r="B40" s="135">
        <v>4.583333333333333</v>
      </c>
      <c r="C40" s="135">
        <v>5.416666666666667</v>
      </c>
      <c r="D40" s="135">
        <v>5.9722222222222223</v>
      </c>
      <c r="E40" s="445">
        <v>5.3240740740740744</v>
      </c>
    </row>
    <row r="41" spans="1:5" ht="14.45" customHeight="1" x14ac:dyDescent="0.25">
      <c r="A41" s="33" t="s">
        <v>8</v>
      </c>
      <c r="B41" s="135">
        <v>6.2592592592592595</v>
      </c>
      <c r="C41" s="135">
        <v>6.0925925925925926</v>
      </c>
      <c r="D41" s="135">
        <v>6.3703703703703702</v>
      </c>
      <c r="E41" s="445">
        <v>6.2407407407407405</v>
      </c>
    </row>
    <row r="42" spans="1:5" ht="14.45" customHeight="1" x14ac:dyDescent="0.25">
      <c r="A42" s="32" t="s">
        <v>18</v>
      </c>
      <c r="B42" s="135">
        <v>7.5683060109289615</v>
      </c>
      <c r="C42" s="135">
        <v>7.1584699453551917</v>
      </c>
      <c r="D42" s="135">
        <v>7.3087431693989071</v>
      </c>
      <c r="E42" s="445">
        <v>7.3451730418943528</v>
      </c>
    </row>
    <row r="43" spans="1:5" ht="14.45" customHeight="1" x14ac:dyDescent="0.25">
      <c r="A43" s="33" t="s">
        <v>67</v>
      </c>
      <c r="B43" s="135">
        <v>6.5804597701149428</v>
      </c>
      <c r="C43" s="135">
        <v>5.3735632183908049</v>
      </c>
      <c r="D43" s="135">
        <v>6.5517241379310347</v>
      </c>
      <c r="E43" s="445">
        <v>6.1685823754789277</v>
      </c>
    </row>
    <row r="44" spans="1:5" ht="14.45" customHeight="1" x14ac:dyDescent="0.25">
      <c r="A44" s="356" t="s">
        <v>32</v>
      </c>
      <c r="B44" s="446"/>
      <c r="C44" s="446"/>
      <c r="D44" s="446"/>
      <c r="E44" s="396"/>
    </row>
    <row r="45" spans="1:5" ht="14.45" customHeight="1" x14ac:dyDescent="0.25">
      <c r="A45" s="33" t="s">
        <v>68</v>
      </c>
      <c r="B45" s="135">
        <v>6.7948717948717947</v>
      </c>
      <c r="C45" s="135">
        <v>6.6025641025641022</v>
      </c>
      <c r="D45" s="135">
        <v>7.3717948717948714</v>
      </c>
      <c r="E45" s="445">
        <v>6.9230769230769242</v>
      </c>
    </row>
    <row r="46" spans="1:5" ht="14.45" customHeight="1" x14ac:dyDescent="0.25">
      <c r="A46" s="33" t="s">
        <v>33</v>
      </c>
      <c r="B46" s="135">
        <v>7.2222222222222223</v>
      </c>
      <c r="C46" s="135">
        <v>6.3888888888888893</v>
      </c>
      <c r="D46" s="135">
        <v>6.9444444444444446</v>
      </c>
      <c r="E46" s="445">
        <v>6.8518518518518512</v>
      </c>
    </row>
    <row r="47" spans="1:5" ht="14.45" customHeight="1" x14ac:dyDescent="0.25">
      <c r="A47" s="33" t="s">
        <v>34</v>
      </c>
      <c r="B47" s="135">
        <v>6.666666666666667</v>
      </c>
      <c r="C47" s="135">
        <v>7.7777777777777777</v>
      </c>
      <c r="D47" s="135">
        <v>6.7592592592592595</v>
      </c>
      <c r="E47" s="445">
        <v>7.0679012345679002</v>
      </c>
    </row>
    <row r="48" spans="1:5" ht="14.45" customHeight="1" x14ac:dyDescent="0.25">
      <c r="A48" s="33" t="s">
        <v>50</v>
      </c>
      <c r="B48" s="135">
        <v>6.6071428571428568</v>
      </c>
      <c r="C48" s="135">
        <v>6.3690476190476186</v>
      </c>
      <c r="D48" s="135">
        <v>6.9642857142857144</v>
      </c>
      <c r="E48" s="445">
        <v>6.6468253968253963</v>
      </c>
    </row>
    <row r="49" spans="1:5" ht="14.45" customHeight="1" x14ac:dyDescent="0.25">
      <c r="A49" s="33" t="s">
        <v>19</v>
      </c>
      <c r="B49" s="135">
        <v>7.3214285714285712</v>
      </c>
      <c r="C49" s="135">
        <v>6.4285714285714288</v>
      </c>
      <c r="D49" s="135">
        <v>7.1428571428571432</v>
      </c>
      <c r="E49" s="445">
        <v>6.9642857142857144</v>
      </c>
    </row>
    <row r="50" spans="1:5" ht="14.45" customHeight="1" x14ac:dyDescent="0.25">
      <c r="A50" s="356" t="s">
        <v>51</v>
      </c>
      <c r="B50" s="446"/>
      <c r="C50" s="446"/>
      <c r="D50" s="446"/>
      <c r="E50" s="445"/>
    </row>
    <row r="51" spans="1:5" ht="14.45" customHeight="1" x14ac:dyDescent="0.25">
      <c r="A51" s="33" t="s">
        <v>35</v>
      </c>
      <c r="B51" s="135">
        <v>6.979166666666667</v>
      </c>
      <c r="C51" s="135">
        <v>6.9097222222222223</v>
      </c>
      <c r="D51" s="135">
        <v>6.5625</v>
      </c>
      <c r="E51" s="445">
        <v>6.8171296296296298</v>
      </c>
    </row>
    <row r="52" spans="1:5" ht="14.45" customHeight="1" x14ac:dyDescent="0.25">
      <c r="A52" s="33" t="s">
        <v>20</v>
      </c>
      <c r="B52" s="135">
        <v>7.5555555555555554</v>
      </c>
      <c r="C52" s="135">
        <v>7.6388888888888893</v>
      </c>
      <c r="D52" s="135">
        <v>8.1388888888888893</v>
      </c>
      <c r="E52" s="445">
        <v>7.7777777777777768</v>
      </c>
    </row>
    <row r="53" spans="1:5" ht="14.45" customHeight="1" x14ac:dyDescent="0.25">
      <c r="A53" s="33" t="s">
        <v>52</v>
      </c>
      <c r="B53" s="135">
        <v>6.833333333333333</v>
      </c>
      <c r="C53" s="135">
        <v>5.7666666666666666</v>
      </c>
      <c r="D53" s="135">
        <v>6.7</v>
      </c>
      <c r="E53" s="445">
        <v>6.4333333333333336</v>
      </c>
    </row>
    <row r="54" spans="1:5" ht="14.45" customHeight="1" x14ac:dyDescent="0.25">
      <c r="A54" s="33" t="s">
        <v>53</v>
      </c>
      <c r="B54" s="135">
        <v>8.3333333333333339</v>
      </c>
      <c r="C54" s="135">
        <v>8.75</v>
      </c>
      <c r="D54" s="135">
        <v>8.75</v>
      </c>
      <c r="E54" s="445">
        <v>8.6111111111111125</v>
      </c>
    </row>
    <row r="55" spans="1:5" ht="14.45" customHeight="1" x14ac:dyDescent="0.25">
      <c r="A55" s="72" t="s">
        <v>9</v>
      </c>
      <c r="B55" s="135">
        <v>5.6696428571428568</v>
      </c>
      <c r="C55" s="135">
        <v>5.5505952380952381</v>
      </c>
      <c r="D55" s="135">
        <v>5.9375</v>
      </c>
      <c r="E55" s="445">
        <v>5.7192460317460316</v>
      </c>
    </row>
    <row r="56" spans="1:5" ht="14.45" customHeight="1" x14ac:dyDescent="0.25">
      <c r="A56" s="33" t="s">
        <v>10</v>
      </c>
      <c r="B56" s="135">
        <v>5.3153153153153152</v>
      </c>
      <c r="C56" s="135">
        <v>5.8783783783783781</v>
      </c>
      <c r="D56" s="135">
        <v>5.4954954954954953</v>
      </c>
      <c r="E56" s="445">
        <v>5.5630630630630629</v>
      </c>
    </row>
    <row r="57" spans="1:5" ht="14.45" customHeight="1" x14ac:dyDescent="0.25">
      <c r="A57" s="33" t="s">
        <v>54</v>
      </c>
      <c r="B57" s="135">
        <v>6.0606060606060606</v>
      </c>
      <c r="C57" s="135">
        <v>5.3787878787878789</v>
      </c>
      <c r="D57" s="135">
        <v>6.5151515151515156</v>
      </c>
      <c r="E57" s="445">
        <v>5.9848484848484853</v>
      </c>
    </row>
    <row r="58" spans="1:5" ht="14.45" customHeight="1" x14ac:dyDescent="0.25">
      <c r="A58" s="356" t="s">
        <v>38</v>
      </c>
      <c r="B58" s="446"/>
      <c r="C58" s="446"/>
      <c r="D58" s="446"/>
      <c r="E58" s="396"/>
    </row>
    <row r="59" spans="1:5" ht="14.45" customHeight="1" x14ac:dyDescent="0.25">
      <c r="A59" s="33" t="s">
        <v>40</v>
      </c>
      <c r="B59" s="135">
        <v>6.8518518518518521</v>
      </c>
      <c r="C59" s="135">
        <v>6.3271604938271606</v>
      </c>
      <c r="D59" s="135">
        <v>6.1111111111111107</v>
      </c>
      <c r="E59" s="445">
        <v>6.4300411522633754</v>
      </c>
    </row>
    <row r="60" spans="1:5" ht="14.45" customHeight="1" x14ac:dyDescent="0.25">
      <c r="A60" s="33" t="s">
        <v>21</v>
      </c>
      <c r="B60" s="135">
        <v>7.3994252873563218</v>
      </c>
      <c r="C60" s="135">
        <v>5.7183908045977008</v>
      </c>
      <c r="D60" s="135">
        <v>7.4568965517241379</v>
      </c>
      <c r="E60" s="445">
        <v>6.8582375478927196</v>
      </c>
    </row>
    <row r="61" spans="1:5" ht="14.45" customHeight="1" x14ac:dyDescent="0.25">
      <c r="A61" s="356" t="s">
        <v>55</v>
      </c>
      <c r="B61" s="446">
        <v>6.3888888888888893</v>
      </c>
      <c r="C61" s="446">
        <v>6.1111111111111107</v>
      </c>
      <c r="D61" s="446">
        <v>9.1666666666666661</v>
      </c>
      <c r="E61" s="445">
        <v>7.2222222222222223</v>
      </c>
    </row>
    <row r="62" spans="1:5" ht="14.45" customHeight="1" x14ac:dyDescent="0.25">
      <c r="A62" s="33" t="s">
        <v>56</v>
      </c>
      <c r="B62" s="135">
        <v>6.0956790123456788</v>
      </c>
      <c r="C62" s="135">
        <v>5.833333333333333</v>
      </c>
      <c r="D62" s="135">
        <v>6.2808641975308639</v>
      </c>
      <c r="E62" s="445">
        <v>6.0699588477366255</v>
      </c>
    </row>
    <row r="63" spans="1:5" ht="14.45" customHeight="1" x14ac:dyDescent="0.25">
      <c r="A63" s="72" t="s">
        <v>11</v>
      </c>
      <c r="B63" s="135">
        <v>5.5787037037037033</v>
      </c>
      <c r="C63" s="135">
        <v>6.0648148148148149</v>
      </c>
      <c r="D63" s="135">
        <v>6.7824074074074074</v>
      </c>
      <c r="E63" s="445">
        <v>6.1419753086419755</v>
      </c>
    </row>
    <row r="64" spans="1:5" ht="14.45" customHeight="1" x14ac:dyDescent="0.25">
      <c r="A64" s="72" t="s">
        <v>36</v>
      </c>
      <c r="B64" s="135">
        <v>5.416666666666667</v>
      </c>
      <c r="C64" s="135">
        <v>5.625</v>
      </c>
      <c r="D64" s="135">
        <v>6.25</v>
      </c>
      <c r="E64" s="445">
        <v>5.7638888888888893</v>
      </c>
    </row>
    <row r="65" spans="1:5" ht="14.45" customHeight="1" x14ac:dyDescent="0.25">
      <c r="A65" s="72" t="s">
        <v>57</v>
      </c>
      <c r="B65" s="135">
        <v>5.6578947368421053</v>
      </c>
      <c r="C65" s="135">
        <v>6.1184210526315788</v>
      </c>
      <c r="D65" s="135">
        <v>6.5789473684210522</v>
      </c>
      <c r="E65" s="445">
        <v>6.1184210526315788</v>
      </c>
    </row>
    <row r="66" spans="1:5" ht="14.45" customHeight="1" x14ac:dyDescent="0.25">
      <c r="A66" s="33" t="s">
        <v>60</v>
      </c>
      <c r="B66" s="135">
        <v>6.0972222222222223</v>
      </c>
      <c r="C66" s="135">
        <v>6.166666666666667</v>
      </c>
      <c r="D66" s="135">
        <v>7.0555555555555554</v>
      </c>
      <c r="E66" s="519">
        <v>6.4398148148148149</v>
      </c>
    </row>
    <row r="67" spans="1:5" ht="14.45" customHeight="1" thickBot="1" x14ac:dyDescent="0.3">
      <c r="A67" s="34" t="s">
        <v>58</v>
      </c>
      <c r="B67" s="135">
        <v>6.75</v>
      </c>
      <c r="C67" s="135">
        <v>6.416666666666667</v>
      </c>
      <c r="D67" s="135">
        <v>7.416666666666667</v>
      </c>
      <c r="E67" s="445">
        <v>6.8611111111111107</v>
      </c>
    </row>
  </sheetData>
  <sortState xmlns:xlrd2="http://schemas.microsoft.com/office/spreadsheetml/2017/richdata2" ref="A11:E67">
    <sortCondition ref="A11:A67"/>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92D050"/>
  </sheetPr>
  <dimension ref="A2:K51"/>
  <sheetViews>
    <sheetView topLeftCell="A34" zoomScale="130" zoomScaleNormal="130" workbookViewId="0">
      <selection activeCell="A47" sqref="A47:A51"/>
    </sheetView>
  </sheetViews>
  <sheetFormatPr defaultColWidth="8.7109375" defaultRowHeight="15" x14ac:dyDescent="0.25"/>
  <cols>
    <col min="1" max="1" width="38.42578125" style="160" bestFit="1" customWidth="1"/>
    <col min="2" max="2" width="16.28515625" style="160" bestFit="1" customWidth="1"/>
    <col min="3" max="3" width="5.85546875" style="160" bestFit="1" customWidth="1"/>
    <col min="4" max="4" width="21" style="160" bestFit="1" customWidth="1"/>
    <col min="5" max="5" width="5.140625" style="160" bestFit="1" customWidth="1"/>
    <col min="6" max="6" width="9.7109375" style="160" bestFit="1" customWidth="1"/>
    <col min="7" max="7" width="11.140625" style="160" bestFit="1" customWidth="1"/>
    <col min="8" max="8" width="11.28515625" style="160" bestFit="1" customWidth="1"/>
    <col min="9" max="10" width="9.140625" style="160"/>
    <col min="11" max="11" width="8.7109375" style="160"/>
    <col min="12" max="16384" width="8.7109375" style="382"/>
  </cols>
  <sheetData>
    <row r="2" spans="1:11" ht="15.75" thickBot="1" x14ac:dyDescent="0.3"/>
    <row r="3" spans="1:11" ht="46.5" thickTop="1" thickBot="1" x14ac:dyDescent="0.3">
      <c r="A3" s="380" t="s">
        <v>216</v>
      </c>
      <c r="B3" s="380" t="s">
        <v>363</v>
      </c>
      <c r="C3" s="380" t="s">
        <v>364</v>
      </c>
      <c r="D3" s="380" t="s">
        <v>365</v>
      </c>
      <c r="E3" s="380" t="s">
        <v>366</v>
      </c>
      <c r="F3" s="380" t="s">
        <v>367</v>
      </c>
      <c r="G3" s="380" t="s">
        <v>368</v>
      </c>
      <c r="H3" s="380" t="s">
        <v>369</v>
      </c>
      <c r="I3" s="380" t="s">
        <v>370</v>
      </c>
      <c r="J3" s="380" t="s">
        <v>371</v>
      </c>
      <c r="K3" s="381" t="s">
        <v>372</v>
      </c>
    </row>
    <row r="4" spans="1:11" ht="15.75" thickTop="1" x14ac:dyDescent="0.25">
      <c r="A4" s="160" t="s">
        <v>23</v>
      </c>
      <c r="B4" s="160">
        <v>62</v>
      </c>
      <c r="C4" s="160">
        <v>16</v>
      </c>
      <c r="D4" s="160">
        <v>5</v>
      </c>
      <c r="E4" s="160">
        <v>5</v>
      </c>
      <c r="F4" s="160">
        <v>3</v>
      </c>
      <c r="G4" s="160">
        <v>1</v>
      </c>
      <c r="H4" s="160">
        <v>92</v>
      </c>
      <c r="I4" s="10">
        <f t="shared" ref="I4:I43" si="0" xml:space="preserve"> (B4 + C4) /H4</f>
        <v>0.84782608695652173</v>
      </c>
      <c r="J4" s="10">
        <f t="shared" ref="J4:J43" si="1" xml:space="preserve"> (E4 + F4) /H4</f>
        <v>8.6956521739130432E-2</v>
      </c>
      <c r="K4" s="10">
        <f t="shared" ref="K4:K43" si="2" xml:space="preserve"> B4/H4</f>
        <v>0.67391304347826086</v>
      </c>
    </row>
    <row r="5" spans="1:11" x14ac:dyDescent="0.25">
      <c r="A5" s="160" t="s">
        <v>62</v>
      </c>
      <c r="B5" s="160">
        <v>226</v>
      </c>
      <c r="C5" s="160">
        <v>42</v>
      </c>
      <c r="D5" s="160">
        <v>3</v>
      </c>
      <c r="E5" s="160">
        <v>5</v>
      </c>
      <c r="F5" s="160">
        <v>6</v>
      </c>
      <c r="H5" s="160">
        <v>282</v>
      </c>
      <c r="I5" s="10">
        <f t="shared" si="0"/>
        <v>0.95035460992907805</v>
      </c>
      <c r="J5" s="10">
        <f t="shared" si="1"/>
        <v>3.9007092198581561E-2</v>
      </c>
      <c r="K5" s="10">
        <f t="shared" si="2"/>
        <v>0.8014184397163121</v>
      </c>
    </row>
    <row r="6" spans="1:11" x14ac:dyDescent="0.25">
      <c r="A6" s="160" t="s">
        <v>42</v>
      </c>
      <c r="B6" s="160">
        <v>127</v>
      </c>
      <c r="C6" s="160">
        <v>9</v>
      </c>
      <c r="H6" s="160">
        <v>136</v>
      </c>
      <c r="I6" s="10">
        <f t="shared" si="0"/>
        <v>1</v>
      </c>
      <c r="J6" s="10">
        <f t="shared" si="1"/>
        <v>0</v>
      </c>
      <c r="K6" s="10">
        <f t="shared" si="2"/>
        <v>0.93382352941176472</v>
      </c>
    </row>
    <row r="7" spans="1:11" x14ac:dyDescent="0.25">
      <c r="A7" s="160" t="s">
        <v>63</v>
      </c>
      <c r="B7" s="160">
        <v>6</v>
      </c>
      <c r="C7" s="160">
        <v>1</v>
      </c>
      <c r="H7" s="160">
        <v>7</v>
      </c>
      <c r="I7" s="10">
        <f t="shared" si="0"/>
        <v>1</v>
      </c>
      <c r="J7" s="10">
        <f t="shared" si="1"/>
        <v>0</v>
      </c>
      <c r="K7" s="10">
        <f t="shared" si="2"/>
        <v>0.8571428571428571</v>
      </c>
    </row>
    <row r="8" spans="1:11" x14ac:dyDescent="0.25">
      <c r="A8" s="160" t="s">
        <v>24</v>
      </c>
      <c r="B8" s="160">
        <v>100</v>
      </c>
      <c r="C8" s="160">
        <v>12</v>
      </c>
      <c r="D8" s="160">
        <v>1</v>
      </c>
      <c r="H8" s="160">
        <v>113</v>
      </c>
      <c r="I8" s="10">
        <f t="shared" si="0"/>
        <v>0.99115044247787609</v>
      </c>
      <c r="J8" s="10">
        <f t="shared" si="1"/>
        <v>0</v>
      </c>
      <c r="K8" s="10">
        <f t="shared" si="2"/>
        <v>0.88495575221238942</v>
      </c>
    </row>
    <row r="9" spans="1:11" x14ac:dyDescent="0.25">
      <c r="A9" s="160" t="s">
        <v>43</v>
      </c>
      <c r="B9" s="160">
        <v>19</v>
      </c>
      <c r="C9" s="160">
        <v>3</v>
      </c>
      <c r="D9" s="160">
        <v>1</v>
      </c>
      <c r="H9" s="160">
        <v>23</v>
      </c>
      <c r="I9" s="10">
        <f t="shared" si="0"/>
        <v>0.95652173913043481</v>
      </c>
      <c r="J9" s="10">
        <f t="shared" si="1"/>
        <v>0</v>
      </c>
      <c r="K9" s="10">
        <f t="shared" si="2"/>
        <v>0.82608695652173914</v>
      </c>
    </row>
    <row r="10" spans="1:11" x14ac:dyDescent="0.25">
      <c r="A10" s="160" t="s">
        <v>44</v>
      </c>
      <c r="B10" s="160">
        <v>1</v>
      </c>
      <c r="H10" s="160">
        <v>1</v>
      </c>
      <c r="I10" s="10">
        <f t="shared" si="0"/>
        <v>1</v>
      </c>
      <c r="J10" s="10">
        <f t="shared" si="1"/>
        <v>0</v>
      </c>
      <c r="K10" s="10">
        <f t="shared" si="2"/>
        <v>1</v>
      </c>
    </row>
    <row r="11" spans="1:11" x14ac:dyDescent="0.25">
      <c r="A11" s="160" t="s">
        <v>64</v>
      </c>
      <c r="B11" s="160">
        <v>89</v>
      </c>
      <c r="C11" s="160">
        <v>22</v>
      </c>
      <c r="H11" s="160">
        <v>111</v>
      </c>
      <c r="I11" s="10">
        <f t="shared" si="0"/>
        <v>1</v>
      </c>
      <c r="J11" s="10">
        <f t="shared" si="1"/>
        <v>0</v>
      </c>
      <c r="K11" s="10">
        <f t="shared" si="2"/>
        <v>0.80180180180180183</v>
      </c>
    </row>
    <row r="12" spans="1:11" x14ac:dyDescent="0.25">
      <c r="A12" s="160" t="s">
        <v>45</v>
      </c>
      <c r="B12" s="160">
        <v>1</v>
      </c>
      <c r="H12" s="160">
        <v>1</v>
      </c>
      <c r="I12" s="10">
        <f t="shared" si="0"/>
        <v>1</v>
      </c>
      <c r="J12" s="10">
        <f t="shared" si="1"/>
        <v>0</v>
      </c>
      <c r="K12" s="10">
        <f t="shared" si="2"/>
        <v>1</v>
      </c>
    </row>
    <row r="13" spans="1:11" x14ac:dyDescent="0.25">
      <c r="A13" s="160" t="s">
        <v>47</v>
      </c>
      <c r="B13" s="160">
        <v>4</v>
      </c>
      <c r="C13" s="160">
        <v>2</v>
      </c>
      <c r="E13" s="160">
        <v>1</v>
      </c>
      <c r="H13" s="160">
        <v>7</v>
      </c>
      <c r="I13" s="10">
        <f t="shared" si="0"/>
        <v>0.8571428571428571</v>
      </c>
      <c r="J13" s="10">
        <f t="shared" si="1"/>
        <v>0.14285714285714285</v>
      </c>
      <c r="K13" s="10">
        <f t="shared" si="2"/>
        <v>0.5714285714285714</v>
      </c>
    </row>
    <row r="14" spans="1:11" x14ac:dyDescent="0.25">
      <c r="A14" s="160" t="s">
        <v>25</v>
      </c>
      <c r="B14" s="160">
        <v>1</v>
      </c>
      <c r="H14" s="160">
        <v>1</v>
      </c>
      <c r="I14" s="10">
        <f t="shared" si="0"/>
        <v>1</v>
      </c>
      <c r="J14" s="10">
        <f t="shared" si="1"/>
        <v>0</v>
      </c>
      <c r="K14" s="10">
        <f t="shared" si="2"/>
        <v>1</v>
      </c>
    </row>
    <row r="15" spans="1:11" x14ac:dyDescent="0.25">
      <c r="A15" s="160" t="s">
        <v>26</v>
      </c>
      <c r="B15" s="160">
        <v>535</v>
      </c>
      <c r="C15" s="160">
        <v>175</v>
      </c>
      <c r="D15" s="160">
        <v>85</v>
      </c>
      <c r="E15" s="160">
        <v>54</v>
      </c>
      <c r="F15" s="160">
        <v>145</v>
      </c>
      <c r="G15" s="160">
        <v>9</v>
      </c>
      <c r="H15" s="160">
        <v>1003</v>
      </c>
      <c r="I15" s="10">
        <f t="shared" si="0"/>
        <v>0.70787637088733801</v>
      </c>
      <c r="J15" s="10">
        <f t="shared" si="1"/>
        <v>0.19840478564307079</v>
      </c>
      <c r="K15" s="10">
        <f t="shared" si="2"/>
        <v>0.53339980059820535</v>
      </c>
    </row>
    <row r="16" spans="1:11" x14ac:dyDescent="0.25">
      <c r="A16" s="160" t="s">
        <v>48</v>
      </c>
      <c r="B16" s="160">
        <v>2</v>
      </c>
      <c r="C16" s="160">
        <v>1</v>
      </c>
      <c r="H16" s="160">
        <v>3</v>
      </c>
      <c r="I16" s="10">
        <f t="shared" si="0"/>
        <v>1</v>
      </c>
      <c r="J16" s="10">
        <f t="shared" si="1"/>
        <v>0</v>
      </c>
      <c r="K16" s="10">
        <f t="shared" si="2"/>
        <v>0.66666666666666663</v>
      </c>
    </row>
    <row r="17" spans="1:11" x14ac:dyDescent="0.25">
      <c r="A17" s="160" t="s">
        <v>28</v>
      </c>
      <c r="B17" s="160">
        <v>156</v>
      </c>
      <c r="C17" s="160">
        <v>6</v>
      </c>
      <c r="G17" s="160">
        <v>1</v>
      </c>
      <c r="H17" s="160">
        <v>163</v>
      </c>
      <c r="I17" s="10">
        <f t="shared" si="0"/>
        <v>0.99386503067484666</v>
      </c>
      <c r="J17" s="10">
        <f t="shared" si="1"/>
        <v>0</v>
      </c>
      <c r="K17" s="10">
        <f t="shared" si="2"/>
        <v>0.95705521472392641</v>
      </c>
    </row>
    <row r="18" spans="1:11" x14ac:dyDescent="0.25">
      <c r="A18" s="160" t="s">
        <v>49</v>
      </c>
      <c r="B18" s="160">
        <v>31</v>
      </c>
      <c r="C18" s="160">
        <v>19</v>
      </c>
      <c r="D18" s="160">
        <v>3</v>
      </c>
      <c r="E18" s="160">
        <v>4</v>
      </c>
      <c r="F18" s="160">
        <v>1</v>
      </c>
      <c r="G18" s="160">
        <v>1</v>
      </c>
      <c r="H18" s="160">
        <v>59</v>
      </c>
      <c r="I18" s="10">
        <f t="shared" si="0"/>
        <v>0.84745762711864403</v>
      </c>
      <c r="J18" s="10">
        <f t="shared" si="1"/>
        <v>8.4745762711864403E-2</v>
      </c>
      <c r="K18" s="10">
        <f t="shared" si="2"/>
        <v>0.52542372881355937</v>
      </c>
    </row>
    <row r="19" spans="1:11" x14ac:dyDescent="0.25">
      <c r="A19" s="160" t="s">
        <v>65</v>
      </c>
      <c r="B19" s="160">
        <v>24</v>
      </c>
      <c r="C19" s="160">
        <v>5</v>
      </c>
      <c r="H19" s="160">
        <v>29</v>
      </c>
      <c r="I19" s="10">
        <f t="shared" si="0"/>
        <v>1</v>
      </c>
      <c r="J19" s="10">
        <f t="shared" si="1"/>
        <v>0</v>
      </c>
      <c r="K19" s="10">
        <f t="shared" si="2"/>
        <v>0.82758620689655171</v>
      </c>
    </row>
    <row r="20" spans="1:11" x14ac:dyDescent="0.25">
      <c r="A20" s="160" t="s">
        <v>66</v>
      </c>
      <c r="B20" s="160">
        <v>71</v>
      </c>
      <c r="C20" s="160">
        <v>11</v>
      </c>
      <c r="H20" s="160">
        <v>82</v>
      </c>
      <c r="I20" s="10">
        <f t="shared" si="0"/>
        <v>1</v>
      </c>
      <c r="J20" s="10">
        <f t="shared" si="1"/>
        <v>0</v>
      </c>
      <c r="K20" s="10">
        <f t="shared" si="2"/>
        <v>0.86585365853658536</v>
      </c>
    </row>
    <row r="21" spans="1:11" x14ac:dyDescent="0.25">
      <c r="A21" s="160" t="s">
        <v>29</v>
      </c>
      <c r="B21" s="160">
        <v>134</v>
      </c>
      <c r="C21" s="160">
        <v>21</v>
      </c>
      <c r="D21" s="160">
        <v>1</v>
      </c>
      <c r="G21" s="160">
        <v>2</v>
      </c>
      <c r="H21" s="160">
        <v>158</v>
      </c>
      <c r="I21" s="10">
        <f t="shared" si="0"/>
        <v>0.98101265822784811</v>
      </c>
      <c r="J21" s="10">
        <f t="shared" si="1"/>
        <v>0</v>
      </c>
      <c r="K21" s="10">
        <f t="shared" si="2"/>
        <v>0.84810126582278478</v>
      </c>
    </row>
    <row r="22" spans="1:11" x14ac:dyDescent="0.25">
      <c r="A22" s="160" t="s">
        <v>30</v>
      </c>
      <c r="B22" s="160">
        <v>69</v>
      </c>
      <c r="C22" s="160">
        <v>34</v>
      </c>
      <c r="D22" s="160">
        <v>6</v>
      </c>
      <c r="E22" s="160">
        <v>1</v>
      </c>
      <c r="F22" s="160">
        <v>1</v>
      </c>
      <c r="G22" s="160">
        <v>2</v>
      </c>
      <c r="H22" s="160">
        <v>113</v>
      </c>
      <c r="I22" s="10">
        <f t="shared" si="0"/>
        <v>0.91150442477876104</v>
      </c>
      <c r="J22" s="10">
        <f t="shared" si="1"/>
        <v>1.7699115044247787E-2</v>
      </c>
      <c r="K22" s="10">
        <f t="shared" si="2"/>
        <v>0.61061946902654862</v>
      </c>
    </row>
    <row r="23" spans="1:11" x14ac:dyDescent="0.25">
      <c r="A23" s="160" t="s">
        <v>31</v>
      </c>
      <c r="B23" s="160">
        <v>128</v>
      </c>
      <c r="C23" s="160">
        <v>12</v>
      </c>
      <c r="D23" s="160">
        <v>4</v>
      </c>
      <c r="H23" s="160">
        <v>144</v>
      </c>
      <c r="I23" s="10">
        <f t="shared" si="0"/>
        <v>0.97222222222222221</v>
      </c>
      <c r="J23" s="10">
        <f t="shared" si="1"/>
        <v>0</v>
      </c>
      <c r="K23" s="10">
        <f t="shared" si="2"/>
        <v>0.88888888888888884</v>
      </c>
    </row>
    <row r="24" spans="1:11" x14ac:dyDescent="0.25">
      <c r="A24" s="160" t="s">
        <v>8</v>
      </c>
      <c r="B24" s="160">
        <v>1</v>
      </c>
      <c r="H24" s="160">
        <v>1</v>
      </c>
      <c r="I24" s="10">
        <f t="shared" si="0"/>
        <v>1</v>
      </c>
      <c r="J24" s="10">
        <f t="shared" si="1"/>
        <v>0</v>
      </c>
      <c r="K24" s="10">
        <f t="shared" si="2"/>
        <v>1</v>
      </c>
    </row>
    <row r="25" spans="1:11" x14ac:dyDescent="0.25">
      <c r="A25" s="160" t="s">
        <v>67</v>
      </c>
      <c r="B25" s="160">
        <v>157</v>
      </c>
      <c r="C25" s="160">
        <v>27</v>
      </c>
      <c r="D25" s="160">
        <v>4</v>
      </c>
      <c r="E25" s="160">
        <v>3</v>
      </c>
      <c r="H25" s="160">
        <v>191</v>
      </c>
      <c r="I25" s="10">
        <f t="shared" si="0"/>
        <v>0.96335078534031415</v>
      </c>
      <c r="J25" s="10">
        <f t="shared" si="1"/>
        <v>1.5706806282722512E-2</v>
      </c>
      <c r="K25" s="10">
        <f t="shared" si="2"/>
        <v>0.82198952879581155</v>
      </c>
    </row>
    <row r="26" spans="1:11" x14ac:dyDescent="0.25">
      <c r="A26" s="160" t="s">
        <v>68</v>
      </c>
      <c r="B26" s="160">
        <v>9</v>
      </c>
      <c r="C26" s="160">
        <v>1</v>
      </c>
      <c r="H26" s="160">
        <v>10</v>
      </c>
      <c r="I26" s="10">
        <f t="shared" si="0"/>
        <v>1</v>
      </c>
      <c r="J26" s="10">
        <f t="shared" si="1"/>
        <v>0</v>
      </c>
      <c r="K26" s="10">
        <f t="shared" si="2"/>
        <v>0.9</v>
      </c>
    </row>
    <row r="27" spans="1:11" x14ac:dyDescent="0.25">
      <c r="A27" s="160" t="s">
        <v>33</v>
      </c>
      <c r="B27" s="160">
        <v>263</v>
      </c>
      <c r="C27" s="160">
        <v>21</v>
      </c>
      <c r="D27" s="160">
        <v>2</v>
      </c>
      <c r="H27" s="160">
        <v>286</v>
      </c>
      <c r="I27" s="10">
        <f t="shared" si="0"/>
        <v>0.99300699300699302</v>
      </c>
      <c r="J27" s="10">
        <f t="shared" si="1"/>
        <v>0</v>
      </c>
      <c r="K27" s="10">
        <f t="shared" si="2"/>
        <v>0.91958041958041958</v>
      </c>
    </row>
    <row r="28" spans="1:11" x14ac:dyDescent="0.25">
      <c r="A28" s="160" t="s">
        <v>34</v>
      </c>
      <c r="B28" s="160">
        <v>14</v>
      </c>
      <c r="C28" s="160">
        <v>4</v>
      </c>
      <c r="D28" s="160">
        <v>1</v>
      </c>
      <c r="H28" s="160">
        <v>19</v>
      </c>
      <c r="I28" s="10">
        <f t="shared" si="0"/>
        <v>0.94736842105263153</v>
      </c>
      <c r="J28" s="10">
        <f t="shared" si="1"/>
        <v>0</v>
      </c>
      <c r="K28" s="10">
        <f t="shared" si="2"/>
        <v>0.73684210526315785</v>
      </c>
    </row>
    <row r="29" spans="1:11" x14ac:dyDescent="0.25">
      <c r="A29" s="160" t="s">
        <v>50</v>
      </c>
      <c r="B29" s="160">
        <v>3</v>
      </c>
      <c r="C29" s="160">
        <v>1</v>
      </c>
      <c r="H29" s="160">
        <v>4</v>
      </c>
      <c r="I29" s="10">
        <f t="shared" si="0"/>
        <v>1</v>
      </c>
      <c r="J29" s="10">
        <f t="shared" si="1"/>
        <v>0</v>
      </c>
      <c r="K29" s="10">
        <f t="shared" si="2"/>
        <v>0.75</v>
      </c>
    </row>
    <row r="30" spans="1:11" x14ac:dyDescent="0.25">
      <c r="A30" s="160" t="s">
        <v>35</v>
      </c>
      <c r="B30" s="160">
        <v>1</v>
      </c>
      <c r="H30" s="160">
        <v>1</v>
      </c>
      <c r="I30" s="10">
        <f t="shared" si="0"/>
        <v>1</v>
      </c>
      <c r="J30" s="10">
        <f t="shared" si="1"/>
        <v>0</v>
      </c>
      <c r="K30" s="10">
        <f t="shared" si="2"/>
        <v>1</v>
      </c>
    </row>
    <row r="31" spans="1:11" x14ac:dyDescent="0.25">
      <c r="A31" s="160" t="s">
        <v>52</v>
      </c>
      <c r="B31" s="160">
        <v>119</v>
      </c>
      <c r="C31" s="160">
        <v>13</v>
      </c>
      <c r="D31" s="160">
        <v>3</v>
      </c>
      <c r="F31" s="160">
        <v>4</v>
      </c>
      <c r="G31" s="160">
        <v>1</v>
      </c>
      <c r="H31" s="160">
        <v>140</v>
      </c>
      <c r="I31" s="10">
        <f t="shared" si="0"/>
        <v>0.94285714285714284</v>
      </c>
      <c r="J31" s="10">
        <f t="shared" si="1"/>
        <v>2.8571428571428571E-2</v>
      </c>
      <c r="K31" s="10">
        <f t="shared" si="2"/>
        <v>0.85</v>
      </c>
    </row>
    <row r="32" spans="1:11" x14ac:dyDescent="0.25">
      <c r="A32" s="160" t="s">
        <v>53</v>
      </c>
      <c r="B32" s="160">
        <v>4</v>
      </c>
      <c r="H32" s="160">
        <v>4</v>
      </c>
      <c r="I32" s="10">
        <f t="shared" si="0"/>
        <v>1</v>
      </c>
      <c r="J32" s="10">
        <f t="shared" si="1"/>
        <v>0</v>
      </c>
      <c r="K32" s="10">
        <f t="shared" si="2"/>
        <v>1</v>
      </c>
    </row>
    <row r="33" spans="1:11" x14ac:dyDescent="0.25">
      <c r="A33" s="160" t="s">
        <v>54</v>
      </c>
      <c r="B33" s="160">
        <v>6</v>
      </c>
      <c r="D33" s="160">
        <v>1</v>
      </c>
      <c r="E33" s="160">
        <v>1</v>
      </c>
      <c r="F33" s="160">
        <v>1</v>
      </c>
      <c r="H33" s="160">
        <v>9</v>
      </c>
      <c r="I33" s="10">
        <f t="shared" si="0"/>
        <v>0.66666666666666663</v>
      </c>
      <c r="J33" s="10">
        <f t="shared" si="1"/>
        <v>0.22222222222222221</v>
      </c>
      <c r="K33" s="10">
        <f t="shared" si="2"/>
        <v>0.66666666666666663</v>
      </c>
    </row>
    <row r="34" spans="1:11" x14ac:dyDescent="0.25">
      <c r="A34" s="160" t="s">
        <v>56</v>
      </c>
      <c r="B34" s="160">
        <v>2</v>
      </c>
      <c r="H34" s="160">
        <v>2</v>
      </c>
      <c r="I34" s="10">
        <f t="shared" si="0"/>
        <v>1</v>
      </c>
      <c r="J34" s="10">
        <f t="shared" si="1"/>
        <v>0</v>
      </c>
      <c r="K34" s="10">
        <f t="shared" si="2"/>
        <v>1</v>
      </c>
    </row>
    <row r="35" spans="1:11" x14ac:dyDescent="0.25">
      <c r="A35" s="160" t="s">
        <v>11</v>
      </c>
      <c r="B35" s="160">
        <v>58</v>
      </c>
      <c r="C35" s="160">
        <v>5</v>
      </c>
      <c r="H35" s="160">
        <v>63</v>
      </c>
      <c r="I35" s="10">
        <f t="shared" si="0"/>
        <v>1</v>
      </c>
      <c r="J35" s="10">
        <f t="shared" si="1"/>
        <v>0</v>
      </c>
      <c r="K35" s="10">
        <f t="shared" si="2"/>
        <v>0.92063492063492058</v>
      </c>
    </row>
    <row r="36" spans="1:11" x14ac:dyDescent="0.25">
      <c r="A36" s="160" t="s">
        <v>36</v>
      </c>
      <c r="B36" s="160">
        <v>17</v>
      </c>
      <c r="C36" s="160">
        <v>8</v>
      </c>
      <c r="D36" s="160">
        <v>3</v>
      </c>
      <c r="E36" s="160">
        <v>1</v>
      </c>
      <c r="H36" s="160">
        <v>29</v>
      </c>
      <c r="I36" s="10">
        <f t="shared" si="0"/>
        <v>0.86206896551724133</v>
      </c>
      <c r="J36" s="10">
        <f t="shared" si="1"/>
        <v>3.4482758620689655E-2</v>
      </c>
      <c r="K36" s="10">
        <f t="shared" si="2"/>
        <v>0.58620689655172409</v>
      </c>
    </row>
    <row r="37" spans="1:11" x14ac:dyDescent="0.25">
      <c r="A37" s="160" t="s">
        <v>57</v>
      </c>
      <c r="B37" s="160">
        <v>254</v>
      </c>
      <c r="C37" s="160">
        <v>49</v>
      </c>
      <c r="D37" s="160">
        <v>9</v>
      </c>
      <c r="E37" s="160">
        <v>1</v>
      </c>
      <c r="F37" s="160">
        <v>2</v>
      </c>
      <c r="G37" s="160">
        <v>1</v>
      </c>
      <c r="H37" s="160">
        <v>316</v>
      </c>
      <c r="I37" s="10">
        <f t="shared" si="0"/>
        <v>0.95886075949367089</v>
      </c>
      <c r="J37" s="10">
        <f t="shared" si="1"/>
        <v>9.4936708860759497E-3</v>
      </c>
      <c r="K37" s="10">
        <f t="shared" si="2"/>
        <v>0.80379746835443033</v>
      </c>
    </row>
    <row r="38" spans="1:11" x14ac:dyDescent="0.25">
      <c r="A38" s="160" t="s">
        <v>58</v>
      </c>
      <c r="E38" s="160">
        <v>1</v>
      </c>
      <c r="H38" s="160">
        <v>1</v>
      </c>
      <c r="I38" s="10">
        <f t="shared" si="0"/>
        <v>0</v>
      </c>
      <c r="J38" s="10">
        <f t="shared" si="1"/>
        <v>1</v>
      </c>
      <c r="K38" s="10">
        <f t="shared" si="2"/>
        <v>0</v>
      </c>
    </row>
    <row r="39" spans="1:11" x14ac:dyDescent="0.25">
      <c r="A39" s="160" t="s">
        <v>425</v>
      </c>
      <c r="B39" s="160">
        <v>22</v>
      </c>
      <c r="C39" s="160">
        <v>1</v>
      </c>
      <c r="D39" s="160">
        <v>2</v>
      </c>
      <c r="E39" s="160">
        <v>1</v>
      </c>
      <c r="H39" s="160">
        <v>26</v>
      </c>
      <c r="I39" s="10">
        <f t="shared" si="0"/>
        <v>0.88461538461538458</v>
      </c>
      <c r="J39" s="10">
        <f t="shared" si="1"/>
        <v>3.8461538461538464E-2</v>
      </c>
      <c r="K39" s="10">
        <f t="shared" si="2"/>
        <v>0.84615384615384615</v>
      </c>
    </row>
    <row r="40" spans="1:11" x14ac:dyDescent="0.25">
      <c r="A40" s="160" t="s">
        <v>373</v>
      </c>
      <c r="B40" s="160">
        <v>46</v>
      </c>
      <c r="C40" s="160">
        <v>13</v>
      </c>
      <c r="H40" s="160">
        <v>59</v>
      </c>
      <c r="I40" s="10">
        <f t="shared" si="0"/>
        <v>1</v>
      </c>
      <c r="J40" s="10">
        <f t="shared" si="1"/>
        <v>0</v>
      </c>
      <c r="K40" s="10">
        <f t="shared" si="2"/>
        <v>0.77966101694915257</v>
      </c>
    </row>
    <row r="41" spans="1:11" x14ac:dyDescent="0.25">
      <c r="A41" s="160" t="s">
        <v>426</v>
      </c>
      <c r="B41" s="160">
        <v>1</v>
      </c>
      <c r="E41" s="160">
        <v>1</v>
      </c>
      <c r="H41" s="160">
        <v>2</v>
      </c>
      <c r="I41" s="10">
        <f t="shared" si="0"/>
        <v>0.5</v>
      </c>
      <c r="J41" s="10">
        <f t="shared" si="1"/>
        <v>0.5</v>
      </c>
      <c r="K41" s="10">
        <f t="shared" si="2"/>
        <v>0.5</v>
      </c>
    </row>
    <row r="42" spans="1:11" x14ac:dyDescent="0.25">
      <c r="A42" s="160" t="s">
        <v>427</v>
      </c>
      <c r="B42" s="160">
        <v>1</v>
      </c>
      <c r="H42" s="160">
        <v>1</v>
      </c>
      <c r="I42" s="10">
        <f t="shared" si="0"/>
        <v>1</v>
      </c>
      <c r="J42" s="10">
        <f t="shared" si="1"/>
        <v>0</v>
      </c>
      <c r="K42" s="10">
        <f t="shared" si="2"/>
        <v>1</v>
      </c>
    </row>
    <row r="43" spans="1:11" x14ac:dyDescent="0.25">
      <c r="A43" s="160" t="s">
        <v>70</v>
      </c>
      <c r="B43" s="160">
        <v>2764</v>
      </c>
      <c r="C43" s="160">
        <v>534</v>
      </c>
      <c r="D43" s="160">
        <v>134</v>
      </c>
      <c r="E43" s="160">
        <v>79</v>
      </c>
      <c r="F43" s="160">
        <v>163</v>
      </c>
      <c r="G43" s="160">
        <v>18</v>
      </c>
      <c r="H43" s="160">
        <v>3692</v>
      </c>
      <c r="I43" s="10">
        <f t="shared" si="0"/>
        <v>0.89328277356446373</v>
      </c>
      <c r="J43" s="10">
        <f t="shared" si="1"/>
        <v>6.5547128927410617E-2</v>
      </c>
      <c r="K43" s="10">
        <f t="shared" si="2"/>
        <v>0.74864572047670641</v>
      </c>
    </row>
    <row r="45" spans="1:11" ht="15.75" thickBot="1" x14ac:dyDescent="0.3"/>
    <row r="46" spans="1:11" ht="46.5" thickTop="1" thickBot="1" x14ac:dyDescent="0.3">
      <c r="A46" s="380" t="s">
        <v>207</v>
      </c>
      <c r="B46" s="380" t="s">
        <v>363</v>
      </c>
      <c r="C46" s="380" t="s">
        <v>364</v>
      </c>
      <c r="D46" s="380" t="s">
        <v>365</v>
      </c>
      <c r="E46" s="380" t="s">
        <v>366</v>
      </c>
      <c r="F46" s="380" t="s">
        <v>367</v>
      </c>
      <c r="G46" s="380" t="s">
        <v>368</v>
      </c>
      <c r="H46" s="380" t="s">
        <v>369</v>
      </c>
      <c r="I46" s="380" t="s">
        <v>370</v>
      </c>
      <c r="J46" s="380" t="s">
        <v>371</v>
      </c>
      <c r="K46" s="381" t="s">
        <v>372</v>
      </c>
    </row>
    <row r="47" spans="1:11" ht="15.75" thickTop="1" x14ac:dyDescent="0.25">
      <c r="A47" s="160" t="s">
        <v>6</v>
      </c>
      <c r="B47" s="160">
        <v>59</v>
      </c>
      <c r="C47" s="160">
        <v>5</v>
      </c>
      <c r="H47" s="160">
        <v>64</v>
      </c>
      <c r="I47" s="10">
        <f xml:space="preserve"> (B47 + C47) /H47</f>
        <v>1</v>
      </c>
      <c r="J47" s="10">
        <f xml:space="preserve"> (E47 + F47) /H47</f>
        <v>0</v>
      </c>
      <c r="K47" s="10">
        <f xml:space="preserve"> B47/H47</f>
        <v>0.921875</v>
      </c>
    </row>
    <row r="48" spans="1:11" x14ac:dyDescent="0.25">
      <c r="A48" s="160" t="s">
        <v>12</v>
      </c>
      <c r="B48" s="160">
        <v>1</v>
      </c>
      <c r="E48" s="160">
        <v>1</v>
      </c>
      <c r="H48" s="160">
        <v>2</v>
      </c>
      <c r="I48" s="10">
        <f t="shared" ref="I48:I51" si="3" xml:space="preserve"> (B48 + C48) /H48</f>
        <v>0.5</v>
      </c>
      <c r="J48" s="10">
        <f t="shared" ref="J48:J51" si="4" xml:space="preserve"> (E48 + F48) /H48</f>
        <v>0.5</v>
      </c>
      <c r="K48" s="10">
        <f t="shared" ref="K48:K51" si="5" xml:space="preserve"> B48/H48</f>
        <v>0.5</v>
      </c>
    </row>
    <row r="49" spans="1:11" x14ac:dyDescent="0.25">
      <c r="A49" s="160" t="s">
        <v>22</v>
      </c>
      <c r="B49" s="160">
        <v>1526</v>
      </c>
      <c r="C49" s="160">
        <v>322</v>
      </c>
      <c r="D49" s="160">
        <v>108</v>
      </c>
      <c r="E49" s="160">
        <v>61</v>
      </c>
      <c r="F49" s="160">
        <v>149</v>
      </c>
      <c r="G49" s="160">
        <v>15</v>
      </c>
      <c r="H49" s="160">
        <v>2181</v>
      </c>
      <c r="I49" s="10">
        <f t="shared" si="3"/>
        <v>0.84731774415405781</v>
      </c>
      <c r="J49" s="10">
        <f t="shared" si="4"/>
        <v>9.6286107290233833E-2</v>
      </c>
      <c r="K49" s="10">
        <f t="shared" si="5"/>
        <v>0.69967904630903255</v>
      </c>
    </row>
    <row r="50" spans="1:11" x14ac:dyDescent="0.25">
      <c r="A50" s="160" t="s">
        <v>41</v>
      </c>
      <c r="B50" s="160">
        <v>574</v>
      </c>
      <c r="C50" s="160">
        <v>97</v>
      </c>
      <c r="D50" s="160">
        <v>17</v>
      </c>
      <c r="E50" s="160">
        <v>8</v>
      </c>
      <c r="F50" s="160">
        <v>8</v>
      </c>
      <c r="G50" s="160">
        <v>3</v>
      </c>
      <c r="H50" s="160">
        <v>707</v>
      </c>
      <c r="I50" s="10">
        <f t="shared" si="3"/>
        <v>0.9490806223479491</v>
      </c>
      <c r="J50" s="10">
        <f t="shared" si="4"/>
        <v>2.2630834512022632E-2</v>
      </c>
      <c r="K50" s="10">
        <f t="shared" si="5"/>
        <v>0.81188118811881194</v>
      </c>
    </row>
    <row r="51" spans="1:11" x14ac:dyDescent="0.25">
      <c r="A51" s="160" t="s">
        <v>61</v>
      </c>
      <c r="B51" s="160">
        <v>582</v>
      </c>
      <c r="C51" s="160">
        <v>109</v>
      </c>
      <c r="D51" s="160">
        <v>7</v>
      </c>
      <c r="E51" s="160">
        <v>8</v>
      </c>
      <c r="F51" s="160">
        <v>6</v>
      </c>
      <c r="H51" s="160">
        <v>712</v>
      </c>
      <c r="I51" s="10">
        <f t="shared" si="3"/>
        <v>0.9705056179775281</v>
      </c>
      <c r="J51" s="10">
        <f t="shared" si="4"/>
        <v>1.9662921348314606E-2</v>
      </c>
      <c r="K51" s="10">
        <f t="shared" si="5"/>
        <v>0.81741573033707871</v>
      </c>
    </row>
  </sheetData>
  <sortState xmlns:xlrd2="http://schemas.microsoft.com/office/spreadsheetml/2017/richdata2" ref="A2:K30">
    <sortCondition ref="A2:A30"/>
  </sortState>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0E11E-B67D-4762-8B49-BBD881D1B456}">
  <sheetPr>
    <tabColor rgb="FF92D050"/>
  </sheetPr>
  <dimension ref="A1:D72"/>
  <sheetViews>
    <sheetView workbookViewId="0">
      <selection activeCell="G14" sqref="G14"/>
    </sheetView>
  </sheetViews>
  <sheetFormatPr defaultRowHeight="15" x14ac:dyDescent="0.25"/>
  <cols>
    <col min="1" max="1" width="29.42578125" customWidth="1"/>
    <col min="2" max="2" width="15.5703125" bestFit="1" customWidth="1"/>
  </cols>
  <sheetData>
    <row r="1" spans="1:4" ht="15.75" thickBot="1" x14ac:dyDescent="0.3"/>
    <row r="2" spans="1:4" x14ac:dyDescent="0.25">
      <c r="A2" s="535" t="s">
        <v>207</v>
      </c>
      <c r="B2" s="536" t="s">
        <v>479</v>
      </c>
      <c r="C2" s="537" t="s">
        <v>481</v>
      </c>
      <c r="D2" s="537" t="s">
        <v>480</v>
      </c>
    </row>
    <row r="3" spans="1:4" x14ac:dyDescent="0.25">
      <c r="A3" s="71" t="s">
        <v>6</v>
      </c>
      <c r="B3" s="528">
        <v>96</v>
      </c>
      <c r="C3" s="528">
        <v>8</v>
      </c>
      <c r="D3" s="528">
        <v>9</v>
      </c>
    </row>
    <row r="4" spans="1:4" x14ac:dyDescent="0.25">
      <c r="A4" s="71" t="s">
        <v>12</v>
      </c>
      <c r="B4" s="528">
        <v>173</v>
      </c>
      <c r="C4" s="528">
        <v>3</v>
      </c>
      <c r="D4" s="528">
        <v>3</v>
      </c>
    </row>
    <row r="5" spans="1:4" x14ac:dyDescent="0.25">
      <c r="A5" s="71" t="s">
        <v>22</v>
      </c>
      <c r="B5" s="528">
        <v>300</v>
      </c>
      <c r="C5" s="528">
        <v>8</v>
      </c>
      <c r="D5" s="528">
        <v>12</v>
      </c>
    </row>
    <row r="6" spans="1:4" x14ac:dyDescent="0.25">
      <c r="A6" s="71" t="s">
        <v>41</v>
      </c>
      <c r="B6" s="528">
        <v>286</v>
      </c>
      <c r="C6" s="528">
        <v>7</v>
      </c>
      <c r="D6" s="528">
        <v>7</v>
      </c>
    </row>
    <row r="7" spans="1:4" x14ac:dyDescent="0.25">
      <c r="A7" s="72" t="s">
        <v>61</v>
      </c>
      <c r="B7" s="528">
        <v>146</v>
      </c>
      <c r="C7" s="528">
        <v>2</v>
      </c>
      <c r="D7" s="528">
        <v>5</v>
      </c>
    </row>
    <row r="10" spans="1:4" ht="15.75" thickBot="1" x14ac:dyDescent="0.3"/>
    <row r="11" spans="1:4" ht="15.75" thickBot="1" x14ac:dyDescent="0.3">
      <c r="A11" s="533" t="s">
        <v>73</v>
      </c>
      <c r="B11" s="534" t="s">
        <v>479</v>
      </c>
    </row>
    <row r="12" spans="1:4" x14ac:dyDescent="0.25">
      <c r="A12" s="531" t="s">
        <v>23</v>
      </c>
      <c r="B12" s="532">
        <v>20</v>
      </c>
    </row>
    <row r="13" spans="1:4" x14ac:dyDescent="0.25">
      <c r="A13" s="529" t="s">
        <v>62</v>
      </c>
      <c r="B13" s="528">
        <v>22</v>
      </c>
    </row>
    <row r="14" spans="1:4" x14ac:dyDescent="0.25">
      <c r="A14" s="529" t="s">
        <v>42</v>
      </c>
      <c r="B14" s="528">
        <v>26</v>
      </c>
    </row>
    <row r="15" spans="1:4" x14ac:dyDescent="0.25">
      <c r="A15" s="529" t="s">
        <v>63</v>
      </c>
      <c r="B15" s="528">
        <v>4</v>
      </c>
    </row>
    <row r="16" spans="1:4" x14ac:dyDescent="0.25">
      <c r="A16" s="529" t="s">
        <v>13</v>
      </c>
      <c r="B16" s="528" t="s">
        <v>223</v>
      </c>
    </row>
    <row r="17" spans="1:2" x14ac:dyDescent="0.25">
      <c r="A17" s="529" t="s">
        <v>3</v>
      </c>
      <c r="B17" s="528" t="s">
        <v>223</v>
      </c>
    </row>
    <row r="18" spans="1:2" x14ac:dyDescent="0.25">
      <c r="A18" s="529" t="s">
        <v>24</v>
      </c>
      <c r="B18" s="528">
        <v>20</v>
      </c>
    </row>
    <row r="19" spans="1:2" ht="22.5" x14ac:dyDescent="0.25">
      <c r="A19" s="529" t="s">
        <v>43</v>
      </c>
      <c r="B19" s="528">
        <v>13</v>
      </c>
    </row>
    <row r="20" spans="1:2" x14ac:dyDescent="0.25">
      <c r="A20" s="529" t="s">
        <v>5</v>
      </c>
      <c r="B20" s="528" t="s">
        <v>223</v>
      </c>
    </row>
    <row r="21" spans="1:2" x14ac:dyDescent="0.25">
      <c r="A21" s="529" t="s">
        <v>14</v>
      </c>
      <c r="B21" s="528">
        <v>8</v>
      </c>
    </row>
    <row r="22" spans="1:2" x14ac:dyDescent="0.25">
      <c r="A22" s="529" t="s">
        <v>44</v>
      </c>
      <c r="B22" s="528">
        <v>6</v>
      </c>
    </row>
    <row r="23" spans="1:2" x14ac:dyDescent="0.25">
      <c r="A23" s="529" t="s">
        <v>64</v>
      </c>
      <c r="B23" s="528">
        <v>5</v>
      </c>
    </row>
    <row r="24" spans="1:2" x14ac:dyDescent="0.25">
      <c r="A24" s="529" t="s">
        <v>15</v>
      </c>
      <c r="B24" s="553" t="s">
        <v>223</v>
      </c>
    </row>
    <row r="25" spans="1:2" x14ac:dyDescent="0.25">
      <c r="A25" s="529" t="s">
        <v>45</v>
      </c>
      <c r="B25" s="528">
        <v>23</v>
      </c>
    </row>
    <row r="26" spans="1:2" x14ac:dyDescent="0.25">
      <c r="A26" s="529" t="s">
        <v>46</v>
      </c>
      <c r="B26" s="528">
        <v>2</v>
      </c>
    </row>
    <row r="27" spans="1:2" x14ac:dyDescent="0.25">
      <c r="A27" s="529" t="s">
        <v>47</v>
      </c>
      <c r="B27" s="528">
        <v>4</v>
      </c>
    </row>
    <row r="28" spans="1:2" ht="22.5" x14ac:dyDescent="0.25">
      <c r="A28" s="529" t="s">
        <v>25</v>
      </c>
      <c r="B28" s="528">
        <v>4</v>
      </c>
    </row>
    <row r="29" spans="1:2" x14ac:dyDescent="0.25">
      <c r="A29" s="529" t="s">
        <v>16</v>
      </c>
      <c r="B29" s="528" t="s">
        <v>223</v>
      </c>
    </row>
    <row r="30" spans="1:2" x14ac:dyDescent="0.25">
      <c r="A30" s="529" t="s">
        <v>17</v>
      </c>
      <c r="B30" s="528">
        <v>19</v>
      </c>
    </row>
    <row r="31" spans="1:2" x14ac:dyDescent="0.25">
      <c r="A31" s="529" t="s">
        <v>48</v>
      </c>
      <c r="B31" s="528">
        <v>6</v>
      </c>
    </row>
    <row r="32" spans="1:2" x14ac:dyDescent="0.25">
      <c r="A32" s="529" t="s">
        <v>26</v>
      </c>
      <c r="B32" s="528">
        <v>122</v>
      </c>
    </row>
    <row r="33" spans="1:2" x14ac:dyDescent="0.25">
      <c r="A33" s="529" t="s">
        <v>27</v>
      </c>
      <c r="B33" s="528">
        <v>18</v>
      </c>
    </row>
    <row r="34" spans="1:2" x14ac:dyDescent="0.25">
      <c r="A34" s="529" t="s">
        <v>65</v>
      </c>
      <c r="B34" s="528">
        <v>2</v>
      </c>
    </row>
    <row r="35" spans="1:2" x14ac:dyDescent="0.25">
      <c r="A35" s="529" t="s">
        <v>28</v>
      </c>
      <c r="B35" s="528">
        <v>18</v>
      </c>
    </row>
    <row r="36" spans="1:2" x14ac:dyDescent="0.25">
      <c r="A36" s="529" t="s">
        <v>49</v>
      </c>
      <c r="B36" s="528">
        <v>24</v>
      </c>
    </row>
    <row r="37" spans="1:2" x14ac:dyDescent="0.25">
      <c r="A37" s="72" t="s">
        <v>66</v>
      </c>
      <c r="B37" s="528">
        <v>23</v>
      </c>
    </row>
    <row r="38" spans="1:2" ht="22.5" x14ac:dyDescent="0.25">
      <c r="A38" s="529" t="s">
        <v>29</v>
      </c>
      <c r="B38" s="528">
        <v>4</v>
      </c>
    </row>
    <row r="39" spans="1:2" ht="22.5" x14ac:dyDescent="0.25">
      <c r="A39" s="529" t="s">
        <v>7</v>
      </c>
      <c r="B39" s="528">
        <v>14</v>
      </c>
    </row>
    <row r="40" spans="1:2" x14ac:dyDescent="0.25">
      <c r="A40" s="529" t="s">
        <v>30</v>
      </c>
      <c r="B40" s="528">
        <v>33</v>
      </c>
    </row>
    <row r="41" spans="1:2" x14ac:dyDescent="0.25">
      <c r="A41" s="529" t="s">
        <v>31</v>
      </c>
      <c r="B41" s="528">
        <v>4</v>
      </c>
    </row>
    <row r="42" spans="1:2" x14ac:dyDescent="0.25">
      <c r="A42" s="529" t="s">
        <v>281</v>
      </c>
      <c r="B42" s="528" t="s">
        <v>223</v>
      </c>
    </row>
    <row r="43" spans="1:2" x14ac:dyDescent="0.25">
      <c r="A43" s="529" t="s">
        <v>8</v>
      </c>
      <c r="B43" s="528">
        <v>25</v>
      </c>
    </row>
    <row r="44" spans="1:2" x14ac:dyDescent="0.25">
      <c r="A44" s="529" t="s">
        <v>18</v>
      </c>
      <c r="B44" s="528">
        <v>54</v>
      </c>
    </row>
    <row r="45" spans="1:2" x14ac:dyDescent="0.25">
      <c r="A45" s="529" t="s">
        <v>293</v>
      </c>
      <c r="B45" s="528" t="s">
        <v>223</v>
      </c>
    </row>
    <row r="46" spans="1:2" x14ac:dyDescent="0.25">
      <c r="A46" s="529" t="s">
        <v>67</v>
      </c>
      <c r="B46" s="528">
        <v>90</v>
      </c>
    </row>
    <row r="47" spans="1:2" ht="22.5" x14ac:dyDescent="0.25">
      <c r="A47" s="529" t="s">
        <v>32</v>
      </c>
      <c r="B47" s="528" t="s">
        <v>223</v>
      </c>
    </row>
    <row r="48" spans="1:2" x14ac:dyDescent="0.25">
      <c r="A48" s="529" t="s">
        <v>68</v>
      </c>
      <c r="B48" s="528">
        <v>8</v>
      </c>
    </row>
    <row r="49" spans="1:2" ht="22.5" x14ac:dyDescent="0.25">
      <c r="A49" s="529" t="s">
        <v>33</v>
      </c>
      <c r="B49" s="528">
        <v>5</v>
      </c>
    </row>
    <row r="50" spans="1:2" x14ac:dyDescent="0.25">
      <c r="A50" s="529" t="s">
        <v>34</v>
      </c>
      <c r="B50" s="528">
        <v>14</v>
      </c>
    </row>
    <row r="51" spans="1:2" x14ac:dyDescent="0.25">
      <c r="A51" s="529" t="s">
        <v>50</v>
      </c>
      <c r="B51" s="528">
        <v>4</v>
      </c>
    </row>
    <row r="52" spans="1:2" x14ac:dyDescent="0.25">
      <c r="A52" s="529" t="s">
        <v>19</v>
      </c>
      <c r="B52" s="528">
        <v>18</v>
      </c>
    </row>
    <row r="53" spans="1:2" x14ac:dyDescent="0.25">
      <c r="A53" s="529" t="s">
        <v>51</v>
      </c>
      <c r="B53" s="528" t="s">
        <v>223</v>
      </c>
    </row>
    <row r="54" spans="1:2" x14ac:dyDescent="0.25">
      <c r="A54" s="529" t="s">
        <v>35</v>
      </c>
      <c r="B54" s="528">
        <v>18</v>
      </c>
    </row>
    <row r="55" spans="1:2" x14ac:dyDescent="0.25">
      <c r="A55" s="529" t="s">
        <v>20</v>
      </c>
      <c r="B55" s="528">
        <v>4</v>
      </c>
    </row>
    <row r="56" spans="1:2" x14ac:dyDescent="0.25">
      <c r="A56" s="529" t="s">
        <v>52</v>
      </c>
      <c r="B56" s="528">
        <v>12</v>
      </c>
    </row>
    <row r="57" spans="1:2" x14ac:dyDescent="0.25">
      <c r="A57" s="529" t="s">
        <v>53</v>
      </c>
      <c r="B57" s="553" t="s">
        <v>223</v>
      </c>
    </row>
    <row r="58" spans="1:2" x14ac:dyDescent="0.25">
      <c r="A58" s="529" t="s">
        <v>9</v>
      </c>
      <c r="B58" s="528">
        <v>29</v>
      </c>
    </row>
    <row r="59" spans="1:2" x14ac:dyDescent="0.25">
      <c r="A59" s="529" t="s">
        <v>10</v>
      </c>
      <c r="B59" s="528">
        <v>10</v>
      </c>
    </row>
    <row r="60" spans="1:2" x14ac:dyDescent="0.25">
      <c r="A60" s="529" t="s">
        <v>54</v>
      </c>
      <c r="B60" s="528">
        <v>12</v>
      </c>
    </row>
    <row r="61" spans="1:2" x14ac:dyDescent="0.25">
      <c r="A61" s="529" t="s">
        <v>38</v>
      </c>
      <c r="B61" s="528" t="s">
        <v>223</v>
      </c>
    </row>
    <row r="62" spans="1:2" ht="22.5" x14ac:dyDescent="0.25">
      <c r="A62" s="529" t="s">
        <v>40</v>
      </c>
      <c r="B62" s="528">
        <v>6</v>
      </c>
    </row>
    <row r="63" spans="1:2" x14ac:dyDescent="0.25">
      <c r="A63" s="529" t="s">
        <v>21</v>
      </c>
      <c r="B63" s="528">
        <v>53</v>
      </c>
    </row>
    <row r="64" spans="1:2" ht="22.5" x14ac:dyDescent="0.25">
      <c r="A64" s="529" t="s">
        <v>55</v>
      </c>
      <c r="B64" s="528">
        <v>18</v>
      </c>
    </row>
    <row r="65" spans="1:2" x14ac:dyDescent="0.25">
      <c r="A65" s="529" t="s">
        <v>56</v>
      </c>
      <c r="B65" s="528">
        <v>115</v>
      </c>
    </row>
    <row r="66" spans="1:2" x14ac:dyDescent="0.25">
      <c r="A66" s="529" t="s">
        <v>11</v>
      </c>
      <c r="B66" s="528">
        <v>11</v>
      </c>
    </row>
    <row r="67" spans="1:2" x14ac:dyDescent="0.25">
      <c r="A67" s="529" t="s">
        <v>36</v>
      </c>
      <c r="B67" s="528">
        <v>13</v>
      </c>
    </row>
    <row r="68" spans="1:2" ht="22.5" x14ac:dyDescent="0.25">
      <c r="A68" s="529" t="s">
        <v>57</v>
      </c>
      <c r="B68" s="528">
        <v>30</v>
      </c>
    </row>
    <row r="69" spans="1:2" x14ac:dyDescent="0.25">
      <c r="A69" s="529" t="s">
        <v>60</v>
      </c>
      <c r="B69" s="528" t="s">
        <v>223</v>
      </c>
    </row>
    <row r="70" spans="1:2" x14ac:dyDescent="0.25">
      <c r="A70" s="529" t="s">
        <v>58</v>
      </c>
      <c r="B70" s="528">
        <v>5</v>
      </c>
    </row>
    <row r="71" spans="1:2" ht="22.5" x14ac:dyDescent="0.25">
      <c r="A71" s="529" t="s">
        <v>69</v>
      </c>
      <c r="B71" s="528" t="s">
        <v>223</v>
      </c>
    </row>
    <row r="72" spans="1:2" x14ac:dyDescent="0.25">
      <c r="A72" s="530" t="s">
        <v>70</v>
      </c>
      <c r="B72" s="52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rgb="FF92D050"/>
  </sheetPr>
  <dimension ref="A1:N72"/>
  <sheetViews>
    <sheetView zoomScaleNormal="100" workbookViewId="0">
      <selection activeCell="E20" sqref="E20"/>
    </sheetView>
  </sheetViews>
  <sheetFormatPr defaultRowHeight="15" x14ac:dyDescent="0.25"/>
  <cols>
    <col min="1" max="1" width="41.5703125" bestFit="1" customWidth="1"/>
    <col min="2" max="2" width="22.42578125" customWidth="1"/>
    <col min="3" max="3" width="44.140625" style="10" bestFit="1" customWidth="1"/>
    <col min="4" max="4" width="49.140625" style="10" bestFit="1" customWidth="1"/>
    <col min="5" max="5" width="28.85546875" style="10" bestFit="1" customWidth="1"/>
    <col min="6" max="6" width="25" style="10" bestFit="1" customWidth="1"/>
    <col min="7" max="7" width="39.85546875" style="10" bestFit="1" customWidth="1"/>
    <col min="8" max="8" width="34.42578125" style="10" bestFit="1" customWidth="1"/>
    <col min="9" max="9" width="51" style="10" bestFit="1" customWidth="1"/>
    <col min="10" max="10" width="58.42578125" style="10" bestFit="1" customWidth="1"/>
    <col min="11" max="11" width="47" style="10" bestFit="1" customWidth="1"/>
    <col min="12" max="14" width="9.140625" style="5"/>
  </cols>
  <sheetData>
    <row r="1" spans="1:11" s="5" customFormat="1" x14ac:dyDescent="0.25">
      <c r="C1" s="5">
        <v>3</v>
      </c>
      <c r="D1" s="5">
        <v>4</v>
      </c>
      <c r="E1" s="5">
        <v>5</v>
      </c>
      <c r="F1" s="5">
        <v>6</v>
      </c>
      <c r="G1" s="5">
        <v>7</v>
      </c>
      <c r="H1" s="5">
        <v>8</v>
      </c>
      <c r="I1" s="5">
        <v>9</v>
      </c>
      <c r="J1" s="5">
        <v>10</v>
      </c>
      <c r="K1" s="5">
        <v>11</v>
      </c>
    </row>
    <row r="3" spans="1:11" x14ac:dyDescent="0.25">
      <c r="A3" t="s">
        <v>201</v>
      </c>
      <c r="B3" t="s">
        <v>217</v>
      </c>
      <c r="C3" s="10" t="s">
        <v>189</v>
      </c>
      <c r="D3" s="10" t="s">
        <v>190</v>
      </c>
      <c r="E3" s="10" t="s">
        <v>191</v>
      </c>
      <c r="F3" s="10" t="s">
        <v>192</v>
      </c>
      <c r="G3" s="10" t="s">
        <v>193</v>
      </c>
      <c r="H3" s="10" t="s">
        <v>194</v>
      </c>
      <c r="I3" s="10" t="s">
        <v>195</v>
      </c>
      <c r="J3" s="10" t="s">
        <v>196</v>
      </c>
      <c r="K3" s="552" t="s">
        <v>494</v>
      </c>
    </row>
    <row r="4" spans="1:11" x14ac:dyDescent="0.25">
      <c r="A4" t="s">
        <v>80</v>
      </c>
      <c r="B4" s="5">
        <v>69</v>
      </c>
      <c r="C4" s="439">
        <v>0.34782608695652173</v>
      </c>
      <c r="D4" s="439">
        <v>0.42028985507246375</v>
      </c>
      <c r="E4" s="439">
        <v>0.47826086956521741</v>
      </c>
      <c r="F4" s="439">
        <v>0.40579710144927539</v>
      </c>
      <c r="G4" s="439">
        <v>0.46376811594202899</v>
      </c>
      <c r="H4" s="439">
        <v>0.47826086956521741</v>
      </c>
      <c r="I4" s="439">
        <v>0.65217391304347827</v>
      </c>
      <c r="J4" s="439">
        <v>0.39130434782608697</v>
      </c>
      <c r="K4" s="441">
        <v>0.14492753623188406</v>
      </c>
    </row>
    <row r="5" spans="1:11" x14ac:dyDescent="0.25">
      <c r="A5" t="s">
        <v>97</v>
      </c>
      <c r="B5" s="5">
        <v>24</v>
      </c>
      <c r="C5" s="439">
        <v>0.54166666666666663</v>
      </c>
      <c r="D5" s="439">
        <v>0.79166666666666663</v>
      </c>
      <c r="E5" s="439">
        <v>0.45833333333333331</v>
      </c>
      <c r="F5" s="439">
        <v>0.66666666666666663</v>
      </c>
      <c r="G5" s="439">
        <v>0.75</v>
      </c>
      <c r="H5" s="439">
        <v>0.58333333333333326</v>
      </c>
      <c r="I5" s="439">
        <v>0.79166666666666674</v>
      </c>
      <c r="J5" s="439">
        <v>0.625</v>
      </c>
      <c r="K5" s="441">
        <v>0.33333333333333337</v>
      </c>
    </row>
    <row r="6" spans="1:11" x14ac:dyDescent="0.25">
      <c r="A6" t="s">
        <v>202</v>
      </c>
      <c r="B6" s="5">
        <v>19</v>
      </c>
      <c r="C6" s="439">
        <v>0.42105263157894735</v>
      </c>
      <c r="D6" s="439">
        <v>0.36842105263157893</v>
      </c>
      <c r="E6" s="439">
        <v>0.42105263157894735</v>
      </c>
      <c r="F6" s="439">
        <v>0.57894736842105265</v>
      </c>
      <c r="G6" s="439">
        <v>0.63157894736842102</v>
      </c>
      <c r="H6" s="439">
        <v>0.68421052631578938</v>
      </c>
      <c r="I6" s="439">
        <v>0.68421052631578949</v>
      </c>
      <c r="J6" s="439">
        <v>0.68421052631578938</v>
      </c>
      <c r="K6" s="441">
        <v>0.31578947368421051</v>
      </c>
    </row>
    <row r="7" spans="1:11" x14ac:dyDescent="0.25">
      <c r="A7" t="s">
        <v>98</v>
      </c>
      <c r="B7" s="5">
        <v>9</v>
      </c>
      <c r="C7" s="439">
        <v>0.55555555555555558</v>
      </c>
      <c r="D7" s="439">
        <v>0.66666666666666674</v>
      </c>
      <c r="E7" s="439">
        <v>0.66666666666666663</v>
      </c>
      <c r="F7" s="439">
        <v>0.88888888888888884</v>
      </c>
      <c r="G7" s="439">
        <v>0.66666666666666663</v>
      </c>
      <c r="H7" s="439">
        <v>0.77777777777777768</v>
      </c>
      <c r="I7" s="439">
        <v>0.77777777777777779</v>
      </c>
      <c r="J7" s="439">
        <v>0.44444444444444442</v>
      </c>
      <c r="K7" s="441">
        <v>0.55555555555555558</v>
      </c>
    </row>
    <row r="8" spans="1:11" x14ac:dyDescent="0.25">
      <c r="A8" t="s">
        <v>99</v>
      </c>
      <c r="B8" s="5">
        <v>9</v>
      </c>
      <c r="C8" s="439">
        <v>0.77777777777777768</v>
      </c>
      <c r="D8" s="439">
        <v>0.66666666666666663</v>
      </c>
      <c r="E8" s="439">
        <v>0.66666666666666663</v>
      </c>
      <c r="F8" s="439">
        <v>0.88888888888888884</v>
      </c>
      <c r="G8" s="439">
        <v>1</v>
      </c>
      <c r="H8" s="439">
        <v>0.88888888888888884</v>
      </c>
      <c r="I8" s="439">
        <v>1</v>
      </c>
      <c r="J8" s="439">
        <v>0.88888888888888884</v>
      </c>
      <c r="K8" s="441">
        <v>0.44444444444444442</v>
      </c>
    </row>
    <row r="9" spans="1:11" x14ac:dyDescent="0.25">
      <c r="A9" t="s">
        <v>203</v>
      </c>
      <c r="B9" s="5">
        <v>3</v>
      </c>
      <c r="C9" s="439" t="s">
        <v>223</v>
      </c>
      <c r="D9" s="439" t="s">
        <v>223</v>
      </c>
      <c r="E9" s="439" t="s">
        <v>223</v>
      </c>
      <c r="F9" s="439" t="s">
        <v>223</v>
      </c>
      <c r="G9" s="439" t="s">
        <v>223</v>
      </c>
      <c r="H9" s="439" t="s">
        <v>223</v>
      </c>
      <c r="I9" s="439" t="s">
        <v>223</v>
      </c>
      <c r="J9" s="439" t="s">
        <v>223</v>
      </c>
      <c r="K9" s="439" t="s">
        <v>223</v>
      </c>
    </row>
    <row r="10" spans="1:11" x14ac:dyDescent="0.25">
      <c r="A10" t="s">
        <v>77</v>
      </c>
      <c r="B10" s="5">
        <v>31</v>
      </c>
      <c r="C10" s="439">
        <v>0.4838709677419355</v>
      </c>
      <c r="D10" s="439">
        <v>0.61290322580645162</v>
      </c>
      <c r="E10" s="439">
        <v>0.5161290322580645</v>
      </c>
      <c r="F10" s="439">
        <v>0.38709677419354838</v>
      </c>
      <c r="G10" s="439">
        <v>0.61290322580645162</v>
      </c>
      <c r="H10" s="439">
        <v>0.45161290322580644</v>
      </c>
      <c r="I10" s="439">
        <v>0.54838709677419351</v>
      </c>
      <c r="J10" s="439">
        <v>0.54838709677419351</v>
      </c>
      <c r="K10" s="441">
        <v>0.16129032258064516</v>
      </c>
    </row>
    <row r="11" spans="1:11" x14ac:dyDescent="0.25">
      <c r="A11" t="s">
        <v>100</v>
      </c>
      <c r="B11" s="5">
        <v>38</v>
      </c>
      <c r="C11" s="439">
        <v>0.47368421052631576</v>
      </c>
      <c r="D11" s="439">
        <v>0.52631578947368418</v>
      </c>
      <c r="E11" s="439">
        <v>0.34210526315789469</v>
      </c>
      <c r="F11" s="439">
        <v>0.52631578947368418</v>
      </c>
      <c r="G11" s="439">
        <v>0.52631578947368418</v>
      </c>
      <c r="H11" s="439">
        <v>0.52631578947368418</v>
      </c>
      <c r="I11" s="439">
        <v>0.57894736842105265</v>
      </c>
      <c r="J11" s="439">
        <v>0.52631578947368418</v>
      </c>
      <c r="K11" s="441">
        <v>0.34210526315789475</v>
      </c>
    </row>
    <row r="12" spans="1:11" x14ac:dyDescent="0.25">
      <c r="A12" s="73" t="s">
        <v>279</v>
      </c>
      <c r="B12" s="158">
        <v>2</v>
      </c>
      <c r="C12" s="439" t="s">
        <v>223</v>
      </c>
      <c r="D12" s="439" t="s">
        <v>223</v>
      </c>
      <c r="E12" s="439" t="s">
        <v>223</v>
      </c>
      <c r="F12" s="439" t="s">
        <v>223</v>
      </c>
      <c r="G12" s="439" t="s">
        <v>223</v>
      </c>
      <c r="H12" s="439" t="s">
        <v>223</v>
      </c>
      <c r="I12" s="439" t="s">
        <v>223</v>
      </c>
      <c r="J12" s="439" t="s">
        <v>223</v>
      </c>
      <c r="K12" s="439" t="s">
        <v>223</v>
      </c>
    </row>
    <row r="13" spans="1:11" x14ac:dyDescent="0.25">
      <c r="A13" t="s">
        <v>101</v>
      </c>
      <c r="B13" s="158">
        <v>8</v>
      </c>
      <c r="C13" s="439">
        <v>0.625</v>
      </c>
      <c r="D13" s="439">
        <v>0.875</v>
      </c>
      <c r="E13" s="439">
        <v>0.625</v>
      </c>
      <c r="F13" s="439">
        <v>0.25</v>
      </c>
      <c r="G13" s="439">
        <v>0.625</v>
      </c>
      <c r="H13" s="439">
        <v>0.25</v>
      </c>
      <c r="I13" s="439">
        <v>0.375</v>
      </c>
      <c r="J13" s="439">
        <v>0.75</v>
      </c>
      <c r="K13" s="441">
        <v>0.5</v>
      </c>
    </row>
    <row r="14" spans="1:11" x14ac:dyDescent="0.25">
      <c r="A14" t="s">
        <v>103</v>
      </c>
      <c r="B14" s="5">
        <v>8</v>
      </c>
      <c r="C14" s="439">
        <v>0.375</v>
      </c>
      <c r="D14" s="439">
        <v>0.5</v>
      </c>
      <c r="E14" s="439">
        <v>0.5</v>
      </c>
      <c r="F14" s="439">
        <v>0.375</v>
      </c>
      <c r="G14" s="439">
        <v>0.625</v>
      </c>
      <c r="H14" s="439">
        <v>0.625</v>
      </c>
      <c r="I14" s="439">
        <v>0.625</v>
      </c>
      <c r="J14" s="439">
        <v>0.375</v>
      </c>
      <c r="K14" s="441">
        <v>0.25</v>
      </c>
    </row>
    <row r="15" spans="1:11" x14ac:dyDescent="0.25">
      <c r="A15" t="s">
        <v>104</v>
      </c>
      <c r="B15" s="5">
        <v>12</v>
      </c>
      <c r="C15" s="439">
        <v>0.83333333333333337</v>
      </c>
      <c r="D15" s="439">
        <v>0.66666666666666663</v>
      </c>
      <c r="E15" s="439">
        <v>0.75</v>
      </c>
      <c r="F15" s="439">
        <v>0.91666666666666663</v>
      </c>
      <c r="G15" s="439">
        <v>1</v>
      </c>
      <c r="H15" s="439">
        <v>0.83333333333333337</v>
      </c>
      <c r="I15" s="439">
        <v>0.91666666666666674</v>
      </c>
      <c r="J15" s="439">
        <v>1</v>
      </c>
      <c r="K15" s="441">
        <v>0.41666666666666669</v>
      </c>
    </row>
    <row r="16" spans="1:11" x14ac:dyDescent="0.25">
      <c r="A16" t="s">
        <v>105</v>
      </c>
      <c r="B16" s="158">
        <v>36</v>
      </c>
      <c r="C16" s="440">
        <v>0.66666666666666674</v>
      </c>
      <c r="D16" s="440">
        <v>0.63888888888888884</v>
      </c>
      <c r="E16" s="440">
        <v>0.61111111111111116</v>
      </c>
      <c r="F16" s="440">
        <v>0.66666666666666663</v>
      </c>
      <c r="G16" s="440">
        <v>0.61111111111111116</v>
      </c>
      <c r="H16" s="440">
        <v>0.63888888888888884</v>
      </c>
      <c r="I16" s="440">
        <v>0.77777777777777768</v>
      </c>
      <c r="J16" s="440">
        <v>0.66666666666666663</v>
      </c>
      <c r="K16" s="441">
        <v>0.55555555555555558</v>
      </c>
    </row>
    <row r="17" spans="1:11" x14ac:dyDescent="0.25">
      <c r="A17" t="s">
        <v>106</v>
      </c>
      <c r="B17" s="5">
        <v>35</v>
      </c>
      <c r="C17" s="439">
        <v>0.51428571428571423</v>
      </c>
      <c r="D17" s="439">
        <v>0.37142857142857144</v>
      </c>
      <c r="E17" s="439">
        <v>0.42857142857142855</v>
      </c>
      <c r="F17" s="439">
        <v>0.5714285714285714</v>
      </c>
      <c r="G17" s="439">
        <v>0.6</v>
      </c>
      <c r="H17" s="439">
        <v>0.60000000000000009</v>
      </c>
      <c r="I17" s="439">
        <v>0.71428571428571419</v>
      </c>
      <c r="J17" s="439">
        <v>0.5714285714285714</v>
      </c>
      <c r="K17" s="441">
        <v>0.17142857142857143</v>
      </c>
    </row>
    <row r="18" spans="1:11" x14ac:dyDescent="0.25">
      <c r="A18" t="s">
        <v>107</v>
      </c>
      <c r="B18" s="5">
        <v>3</v>
      </c>
      <c r="C18" s="439" t="s">
        <v>223</v>
      </c>
      <c r="D18" s="439" t="s">
        <v>223</v>
      </c>
      <c r="E18" s="439" t="s">
        <v>223</v>
      </c>
      <c r="F18" s="439" t="s">
        <v>223</v>
      </c>
      <c r="G18" s="439" t="s">
        <v>223</v>
      </c>
      <c r="H18" s="439" t="s">
        <v>223</v>
      </c>
      <c r="I18" s="439" t="s">
        <v>223</v>
      </c>
      <c r="J18" s="439" t="s">
        <v>223</v>
      </c>
      <c r="K18" s="439" t="s">
        <v>223</v>
      </c>
    </row>
    <row r="19" spans="1:11" x14ac:dyDescent="0.25">
      <c r="A19" t="s">
        <v>82</v>
      </c>
      <c r="B19" s="5">
        <v>2</v>
      </c>
      <c r="C19" s="439" t="s">
        <v>223</v>
      </c>
      <c r="D19" s="439" t="s">
        <v>223</v>
      </c>
      <c r="E19" s="439" t="s">
        <v>223</v>
      </c>
      <c r="F19" s="439" t="s">
        <v>223</v>
      </c>
      <c r="G19" s="439" t="s">
        <v>223</v>
      </c>
      <c r="H19" s="439" t="s">
        <v>223</v>
      </c>
      <c r="I19" s="439" t="s">
        <v>223</v>
      </c>
      <c r="J19" s="439" t="s">
        <v>223</v>
      </c>
      <c r="K19" s="439" t="s">
        <v>223</v>
      </c>
    </row>
    <row r="20" spans="1:11" x14ac:dyDescent="0.25">
      <c r="A20" t="s">
        <v>108</v>
      </c>
      <c r="B20" s="5">
        <v>7</v>
      </c>
      <c r="C20" s="439">
        <v>0.42857142857142855</v>
      </c>
      <c r="D20" s="439">
        <v>0.71428571428571419</v>
      </c>
      <c r="E20" s="439">
        <v>0.2857142857142857</v>
      </c>
      <c r="F20" s="439">
        <v>0.71428571428571419</v>
      </c>
      <c r="G20" s="439">
        <v>0.5714285714285714</v>
      </c>
      <c r="H20" s="439">
        <v>0.5714285714285714</v>
      </c>
      <c r="I20" s="439">
        <v>0.71428571428571419</v>
      </c>
      <c r="J20" s="439">
        <v>0.5714285714285714</v>
      </c>
      <c r="K20" s="441">
        <v>0.2857142857142857</v>
      </c>
    </row>
    <row r="21" spans="1:11" x14ac:dyDescent="0.25">
      <c r="A21" t="s">
        <v>204</v>
      </c>
      <c r="B21" s="5">
        <v>42</v>
      </c>
      <c r="C21" s="439">
        <v>0.88095238095238093</v>
      </c>
      <c r="D21" s="439">
        <v>0.9285714285714286</v>
      </c>
      <c r="E21" s="439">
        <v>0.83333333333333326</v>
      </c>
      <c r="F21" s="439">
        <v>0.7857142857142857</v>
      </c>
      <c r="G21" s="439">
        <v>0.88095238095238093</v>
      </c>
      <c r="H21" s="439">
        <v>0.83333333333333326</v>
      </c>
      <c r="I21" s="439">
        <v>0.83333333333333326</v>
      </c>
      <c r="J21" s="439">
        <v>0.78571428571428581</v>
      </c>
      <c r="K21" s="441">
        <v>0.64285714285714279</v>
      </c>
    </row>
    <row r="22" spans="1:11" x14ac:dyDescent="0.25">
      <c r="A22" t="s">
        <v>205</v>
      </c>
      <c r="B22" s="5">
        <v>46</v>
      </c>
      <c r="C22" s="441">
        <v>0.91304347826086962</v>
      </c>
      <c r="D22" s="441">
        <v>0.76086956521739135</v>
      </c>
      <c r="E22" s="441">
        <v>0.80434782608695654</v>
      </c>
      <c r="F22" s="441">
        <v>0.82608695652173914</v>
      </c>
      <c r="G22" s="441">
        <v>0.84782608695652173</v>
      </c>
      <c r="H22" s="441">
        <v>0.78260869565217384</v>
      </c>
      <c r="I22" s="441">
        <v>0.91304347826086951</v>
      </c>
      <c r="J22" s="441">
        <v>0.65217391304347827</v>
      </c>
      <c r="K22" s="441">
        <v>0.69565217391304346</v>
      </c>
    </row>
    <row r="23" spans="1:11" x14ac:dyDescent="0.25">
      <c r="A23" t="s">
        <v>110</v>
      </c>
      <c r="B23" s="5">
        <v>53</v>
      </c>
      <c r="C23" s="439">
        <v>0.18867924528301888</v>
      </c>
      <c r="D23" s="439">
        <v>0.28301886792452829</v>
      </c>
      <c r="E23" s="439">
        <v>0.35849056603773582</v>
      </c>
      <c r="F23" s="439">
        <v>0.49056603773584906</v>
      </c>
      <c r="G23" s="439">
        <v>0.49056603773584906</v>
      </c>
      <c r="H23" s="439">
        <v>0.35849056603773582</v>
      </c>
      <c r="I23" s="439">
        <v>0.39622641509433965</v>
      </c>
      <c r="J23" s="439">
        <v>0.33962264150943394</v>
      </c>
      <c r="K23" s="441">
        <v>9.4339622641509441E-2</v>
      </c>
    </row>
    <row r="24" spans="1:11" x14ac:dyDescent="0.25">
      <c r="A24" t="s">
        <v>85</v>
      </c>
      <c r="B24" s="5">
        <v>11</v>
      </c>
      <c r="C24" s="439">
        <v>0.72727272727272729</v>
      </c>
      <c r="D24" s="439">
        <v>0.81818181818181812</v>
      </c>
      <c r="E24" s="439">
        <v>0.72727272727272729</v>
      </c>
      <c r="F24" s="439">
        <v>0.54545454545454541</v>
      </c>
      <c r="G24" s="439">
        <v>0.72727272727272729</v>
      </c>
      <c r="H24" s="439">
        <v>0.72727272727272729</v>
      </c>
      <c r="I24" s="439">
        <v>0.90909090909090906</v>
      </c>
      <c r="J24" s="439">
        <v>0.63636363636363635</v>
      </c>
      <c r="K24" s="441">
        <v>0.63636363636363635</v>
      </c>
    </row>
    <row r="25" spans="1:11" x14ac:dyDescent="0.25">
      <c r="A25" t="s">
        <v>111</v>
      </c>
      <c r="B25" s="5">
        <v>10</v>
      </c>
      <c r="C25" s="439">
        <v>0.7</v>
      </c>
      <c r="D25" s="439">
        <v>0.7</v>
      </c>
      <c r="E25" s="439">
        <v>0.60000000000000009</v>
      </c>
      <c r="F25" s="439">
        <v>0.7</v>
      </c>
      <c r="G25" s="439">
        <v>0.6</v>
      </c>
      <c r="H25" s="439">
        <v>0.4</v>
      </c>
      <c r="I25" s="439">
        <v>0.5</v>
      </c>
      <c r="J25" s="439">
        <v>0.5</v>
      </c>
      <c r="K25" s="441">
        <v>0.4</v>
      </c>
    </row>
    <row r="26" spans="1:11" x14ac:dyDescent="0.25">
      <c r="A26" t="s">
        <v>112</v>
      </c>
      <c r="B26" s="5">
        <v>15</v>
      </c>
      <c r="C26" s="439">
        <v>0.60000000000000009</v>
      </c>
      <c r="D26" s="439">
        <v>0.73333333333333339</v>
      </c>
      <c r="E26" s="439">
        <v>0.73333333333333339</v>
      </c>
      <c r="F26" s="439">
        <v>0.66666666666666674</v>
      </c>
      <c r="G26" s="439">
        <v>0.73333333333333328</v>
      </c>
      <c r="H26" s="439">
        <v>0.8</v>
      </c>
      <c r="I26" s="439">
        <v>0.8666666666666667</v>
      </c>
      <c r="J26" s="439">
        <v>0.53333333333333333</v>
      </c>
      <c r="K26" s="441">
        <v>0.4</v>
      </c>
    </row>
    <row r="27" spans="1:11" x14ac:dyDescent="0.25">
      <c r="A27" t="s">
        <v>113</v>
      </c>
      <c r="B27" s="5">
        <v>9</v>
      </c>
      <c r="C27" s="439">
        <v>0.44444444444444442</v>
      </c>
      <c r="D27" s="439">
        <v>0.55555555555555558</v>
      </c>
      <c r="E27" s="439">
        <v>0.66666666666666663</v>
      </c>
      <c r="F27" s="439">
        <v>0.55555555555555558</v>
      </c>
      <c r="G27" s="439">
        <v>0.77777777777777779</v>
      </c>
      <c r="H27" s="439">
        <v>0.66666666666666663</v>
      </c>
      <c r="I27" s="439">
        <v>0.66666666666666663</v>
      </c>
      <c r="J27" s="439">
        <v>0.55555555555555558</v>
      </c>
      <c r="K27" s="441">
        <v>0.1111111111111111</v>
      </c>
    </row>
    <row r="28" spans="1:11" x14ac:dyDescent="0.25">
      <c r="A28" t="s">
        <v>114</v>
      </c>
      <c r="B28" s="5">
        <v>5</v>
      </c>
      <c r="C28" s="439">
        <v>0.4</v>
      </c>
      <c r="D28" s="439">
        <v>0.60000000000000009</v>
      </c>
      <c r="E28" s="439">
        <v>0.8</v>
      </c>
      <c r="F28" s="439">
        <v>0.4</v>
      </c>
      <c r="G28" s="439">
        <v>0.4</v>
      </c>
      <c r="H28" s="439">
        <v>0.8</v>
      </c>
      <c r="I28" s="439">
        <v>0.8</v>
      </c>
      <c r="J28" s="439">
        <v>0.8</v>
      </c>
      <c r="K28" s="441">
        <v>0.4</v>
      </c>
    </row>
    <row r="29" spans="1:11" x14ac:dyDescent="0.25">
      <c r="A29" t="s">
        <v>115</v>
      </c>
      <c r="B29" s="5">
        <v>16</v>
      </c>
      <c r="C29" s="439">
        <v>0.3125</v>
      </c>
      <c r="D29" s="439">
        <v>0.8125</v>
      </c>
      <c r="E29" s="439">
        <v>0.5625</v>
      </c>
      <c r="F29" s="439">
        <v>0.4375</v>
      </c>
      <c r="G29" s="439">
        <v>0.625</v>
      </c>
      <c r="H29" s="439">
        <v>0.625</v>
      </c>
      <c r="I29" s="439">
        <v>0.6875</v>
      </c>
      <c r="J29" s="439">
        <v>0.5</v>
      </c>
      <c r="K29" s="441">
        <v>0.375</v>
      </c>
    </row>
    <row r="30" spans="1:11" x14ac:dyDescent="0.25">
      <c r="A30" t="s">
        <v>116</v>
      </c>
      <c r="B30" s="5">
        <v>28</v>
      </c>
      <c r="C30" s="439">
        <v>0.6071428571428571</v>
      </c>
      <c r="D30" s="439">
        <v>0.5714285714285714</v>
      </c>
      <c r="E30" s="439">
        <v>0.6071428571428571</v>
      </c>
      <c r="F30" s="439">
        <v>0.6785714285714286</v>
      </c>
      <c r="G30" s="439">
        <v>0.85714285714285721</v>
      </c>
      <c r="H30" s="439">
        <v>0.6071428571428571</v>
      </c>
      <c r="I30" s="439">
        <v>0.64285714285714279</v>
      </c>
      <c r="J30" s="439">
        <v>0.5714285714285714</v>
      </c>
      <c r="K30" s="441">
        <v>0.4642857142857143</v>
      </c>
    </row>
    <row r="31" spans="1:11" x14ac:dyDescent="0.25">
      <c r="A31" t="s">
        <v>117</v>
      </c>
      <c r="B31" s="5">
        <v>38</v>
      </c>
      <c r="C31" s="439">
        <v>0.47368421052631582</v>
      </c>
      <c r="D31" s="439">
        <v>0.57894736842105265</v>
      </c>
      <c r="E31" s="439">
        <v>0.26315789473684209</v>
      </c>
      <c r="F31" s="439">
        <v>0.44736842105263153</v>
      </c>
      <c r="G31" s="439">
        <v>0.44736842105263158</v>
      </c>
      <c r="H31" s="439">
        <v>0.34210526315789469</v>
      </c>
      <c r="I31" s="439">
        <v>0.5</v>
      </c>
      <c r="J31" s="439">
        <v>0.42105263157894735</v>
      </c>
      <c r="K31" s="441">
        <v>0.13157894736842105</v>
      </c>
    </row>
    <row r="32" spans="1:11" x14ac:dyDescent="0.25">
      <c r="A32" t="s">
        <v>118</v>
      </c>
      <c r="B32" s="5">
        <v>43</v>
      </c>
      <c r="C32" s="441">
        <v>0.53488372093023262</v>
      </c>
      <c r="D32" s="441">
        <v>0.72093023255813948</v>
      </c>
      <c r="E32" s="441">
        <v>0.46511627906976744</v>
      </c>
      <c r="F32" s="441">
        <v>0.46511627906976744</v>
      </c>
      <c r="G32" s="441">
        <v>0.60465116279069764</v>
      </c>
      <c r="H32" s="441">
        <v>0.51162790697674421</v>
      </c>
      <c r="I32" s="441">
        <v>0.62790697674418605</v>
      </c>
      <c r="J32" s="441">
        <v>0.65116279069767435</v>
      </c>
      <c r="K32" s="441">
        <v>0.39534883720930231</v>
      </c>
    </row>
    <row r="33" spans="1:11" x14ac:dyDescent="0.25">
      <c r="A33" t="s">
        <v>88</v>
      </c>
      <c r="B33" s="5">
        <v>6</v>
      </c>
      <c r="C33" s="439">
        <v>0.16666666666666666</v>
      </c>
      <c r="D33" s="439">
        <v>0</v>
      </c>
      <c r="E33" s="439">
        <v>0.5</v>
      </c>
      <c r="F33" s="439">
        <v>0.5</v>
      </c>
      <c r="G33" s="439">
        <v>0.5</v>
      </c>
      <c r="H33" s="439">
        <v>0.5</v>
      </c>
      <c r="I33" s="439">
        <v>0.5</v>
      </c>
      <c r="J33" s="439">
        <v>0.5</v>
      </c>
      <c r="K33" s="441">
        <v>0.16666666666666666</v>
      </c>
    </row>
    <row r="34" spans="1:11" x14ac:dyDescent="0.25">
      <c r="A34" t="s">
        <v>75</v>
      </c>
      <c r="B34" s="5">
        <v>45</v>
      </c>
      <c r="C34" s="441">
        <v>0.4</v>
      </c>
      <c r="D34" s="441">
        <v>0.6</v>
      </c>
      <c r="E34" s="441">
        <v>0.31111111111111112</v>
      </c>
      <c r="F34" s="441">
        <v>0.57777777777777783</v>
      </c>
      <c r="G34" s="441">
        <v>0.71111111111111114</v>
      </c>
      <c r="H34" s="441">
        <v>0.44444444444444442</v>
      </c>
      <c r="I34" s="441">
        <v>0.6</v>
      </c>
      <c r="J34" s="441">
        <v>0.62222222222222223</v>
      </c>
      <c r="K34" s="441">
        <v>0.28888888888888886</v>
      </c>
    </row>
    <row r="35" spans="1:11" x14ac:dyDescent="0.25">
      <c r="A35" t="s">
        <v>119</v>
      </c>
      <c r="B35" s="5">
        <v>61</v>
      </c>
      <c r="C35" s="441">
        <v>0.78688524590163933</v>
      </c>
      <c r="D35" s="441">
        <v>0.68852459016393441</v>
      </c>
      <c r="E35" s="441">
        <v>0.73770491803278693</v>
      </c>
      <c r="F35" s="441">
        <v>0.77049180327868849</v>
      </c>
      <c r="G35" s="441">
        <v>0.81967213114754101</v>
      </c>
      <c r="H35" s="441">
        <v>0.73770491803278682</v>
      </c>
      <c r="I35" s="441">
        <v>0.75409836065573765</v>
      </c>
      <c r="J35" s="441">
        <v>0.68852459016393441</v>
      </c>
      <c r="K35" s="441">
        <v>0.49180327868852458</v>
      </c>
    </row>
    <row r="36" spans="1:11" x14ac:dyDescent="0.25">
      <c r="A36" t="s">
        <v>120</v>
      </c>
      <c r="B36" s="5">
        <v>29</v>
      </c>
      <c r="C36" s="439">
        <v>0.51724137931034475</v>
      </c>
      <c r="D36" s="439">
        <v>0.62068965517241381</v>
      </c>
      <c r="E36" s="439">
        <v>0.51724137931034486</v>
      </c>
      <c r="F36" s="439">
        <v>0.55172413793103448</v>
      </c>
      <c r="G36" s="439">
        <v>0.72413793103448276</v>
      </c>
      <c r="H36" s="439">
        <v>0.44827586206896552</v>
      </c>
      <c r="I36" s="439">
        <v>0.51724137931034475</v>
      </c>
      <c r="J36" s="439">
        <v>0.5862068965517242</v>
      </c>
      <c r="K36" s="441">
        <v>0.34482758620689657</v>
      </c>
    </row>
    <row r="37" spans="1:11" x14ac:dyDescent="0.25">
      <c r="A37" t="s">
        <v>121</v>
      </c>
      <c r="B37" s="194">
        <v>0</v>
      </c>
      <c r="C37" s="439" t="s">
        <v>223</v>
      </c>
      <c r="D37" s="439" t="s">
        <v>223</v>
      </c>
      <c r="E37" s="439" t="s">
        <v>223</v>
      </c>
      <c r="F37" s="439" t="s">
        <v>223</v>
      </c>
      <c r="G37" s="439" t="s">
        <v>223</v>
      </c>
      <c r="H37" s="439" t="s">
        <v>223</v>
      </c>
      <c r="I37" s="439" t="s">
        <v>223</v>
      </c>
      <c r="J37" s="439" t="s">
        <v>223</v>
      </c>
      <c r="K37" s="439" t="s">
        <v>223</v>
      </c>
    </row>
    <row r="38" spans="1:11" x14ac:dyDescent="0.25">
      <c r="A38" t="s">
        <v>122</v>
      </c>
      <c r="B38" s="5">
        <v>13</v>
      </c>
      <c r="C38" s="439">
        <v>0.61538461538461542</v>
      </c>
      <c r="D38" s="439">
        <v>0.76923076923076916</v>
      </c>
      <c r="E38" s="439">
        <v>0.61538461538461542</v>
      </c>
      <c r="F38" s="439">
        <v>0.61538461538461542</v>
      </c>
      <c r="G38" s="439">
        <v>0.76923076923076927</v>
      </c>
      <c r="H38" s="439">
        <v>0.76923076923076927</v>
      </c>
      <c r="I38" s="439">
        <v>0.61538461538461542</v>
      </c>
      <c r="J38" s="439">
        <v>0.53846153846153855</v>
      </c>
      <c r="K38" s="441">
        <v>0.46153846153846156</v>
      </c>
    </row>
    <row r="39" spans="1:11" x14ac:dyDescent="0.25">
      <c r="A39" t="s">
        <v>123</v>
      </c>
      <c r="B39" s="158">
        <v>6</v>
      </c>
      <c r="C39" s="439">
        <v>0.5</v>
      </c>
      <c r="D39" s="439">
        <v>0.66666666666666663</v>
      </c>
      <c r="E39" s="439">
        <v>0.5</v>
      </c>
      <c r="F39" s="439">
        <v>0.5</v>
      </c>
      <c r="G39" s="439">
        <v>0.5</v>
      </c>
      <c r="H39" s="439">
        <v>0.5</v>
      </c>
      <c r="I39" s="439">
        <v>0.66666666666666663</v>
      </c>
      <c r="J39" s="439">
        <v>0.5</v>
      </c>
      <c r="K39" s="441">
        <v>0.66666666666666663</v>
      </c>
    </row>
    <row r="40" spans="1:11" x14ac:dyDescent="0.25">
      <c r="A40" t="s">
        <v>124</v>
      </c>
      <c r="B40" s="5">
        <v>18</v>
      </c>
      <c r="C40" s="439">
        <v>0.5</v>
      </c>
      <c r="D40" s="439">
        <v>0.66666666666666674</v>
      </c>
      <c r="E40" s="439">
        <v>0.61111111111111116</v>
      </c>
      <c r="F40" s="439">
        <v>0.5</v>
      </c>
      <c r="G40" s="439">
        <v>0.66666666666666663</v>
      </c>
      <c r="H40" s="439">
        <v>0.66666666666666663</v>
      </c>
      <c r="I40" s="439">
        <v>0.83333333333333326</v>
      </c>
      <c r="J40" s="439">
        <v>0.5</v>
      </c>
      <c r="K40" s="441">
        <v>0.3888888888888889</v>
      </c>
    </row>
    <row r="41" spans="1:11" x14ac:dyDescent="0.25">
      <c r="A41" t="s">
        <v>78</v>
      </c>
      <c r="B41" s="158">
        <v>14</v>
      </c>
      <c r="C41" s="439">
        <v>0.5714285714285714</v>
      </c>
      <c r="D41" s="439">
        <v>0.5</v>
      </c>
      <c r="E41" s="439">
        <v>0.5</v>
      </c>
      <c r="F41" s="439">
        <v>0.64285714285714279</v>
      </c>
      <c r="G41" s="439">
        <v>0.8571428571428571</v>
      </c>
      <c r="H41" s="439">
        <v>0.64285714285714279</v>
      </c>
      <c r="I41" s="439">
        <v>0.64285714285714279</v>
      </c>
      <c r="J41" s="439">
        <v>0.64285714285714279</v>
      </c>
      <c r="K41" s="441">
        <v>0.2857142857142857</v>
      </c>
    </row>
    <row r="42" spans="1:11" x14ac:dyDescent="0.25">
      <c r="A42" t="s">
        <v>125</v>
      </c>
      <c r="B42" s="158">
        <v>14</v>
      </c>
      <c r="C42" s="439">
        <v>0.42857142857142855</v>
      </c>
      <c r="D42" s="439">
        <v>0.7857142857142857</v>
      </c>
      <c r="E42" s="439">
        <v>0.5</v>
      </c>
      <c r="F42" s="439">
        <v>0.5</v>
      </c>
      <c r="G42" s="439">
        <v>0.7857142857142857</v>
      </c>
      <c r="H42" s="439">
        <v>0.4285714285714286</v>
      </c>
      <c r="I42" s="439">
        <v>0.71428571428571419</v>
      </c>
      <c r="J42" s="439">
        <v>0.5714285714285714</v>
      </c>
      <c r="K42" s="441">
        <v>0.3571428571428571</v>
      </c>
    </row>
    <row r="43" spans="1:11" x14ac:dyDescent="0.25">
      <c r="A43" t="s">
        <v>126</v>
      </c>
      <c r="B43" s="5">
        <v>1</v>
      </c>
      <c r="C43" s="439" t="s">
        <v>223</v>
      </c>
      <c r="D43" s="439" t="s">
        <v>223</v>
      </c>
      <c r="E43" s="439" t="s">
        <v>223</v>
      </c>
      <c r="F43" s="439" t="s">
        <v>223</v>
      </c>
      <c r="G43" s="439" t="s">
        <v>223</v>
      </c>
      <c r="H43" s="439" t="s">
        <v>223</v>
      </c>
      <c r="I43" s="439" t="s">
        <v>223</v>
      </c>
      <c r="J43" s="439" t="s">
        <v>223</v>
      </c>
      <c r="K43" s="441"/>
    </row>
    <row r="44" spans="1:11" x14ac:dyDescent="0.25">
      <c r="A44" t="s">
        <v>127</v>
      </c>
      <c r="B44" s="5">
        <v>24</v>
      </c>
      <c r="C44" s="439">
        <v>0.58333333333333337</v>
      </c>
      <c r="D44" s="439">
        <v>0.70833333333333326</v>
      </c>
      <c r="E44" s="439">
        <v>0.54166666666666663</v>
      </c>
      <c r="F44" s="439">
        <v>0.66666666666666674</v>
      </c>
      <c r="G44" s="439">
        <v>0.66666666666666663</v>
      </c>
      <c r="H44" s="439">
        <v>0.66666666666666663</v>
      </c>
      <c r="I44" s="439">
        <v>0.70833333333333337</v>
      </c>
      <c r="J44" s="439">
        <v>0.625</v>
      </c>
      <c r="K44" s="441">
        <v>0.25</v>
      </c>
    </row>
    <row r="45" spans="1:11" x14ac:dyDescent="0.25">
      <c r="A45" t="s">
        <v>128</v>
      </c>
      <c r="B45" s="158">
        <v>30</v>
      </c>
      <c r="C45" s="440">
        <v>0.73333333333333328</v>
      </c>
      <c r="D45" s="440">
        <v>0.76666666666666661</v>
      </c>
      <c r="E45" s="440">
        <v>0.73333333333333339</v>
      </c>
      <c r="F45" s="440">
        <v>0.76666666666666661</v>
      </c>
      <c r="G45" s="440">
        <v>0.7</v>
      </c>
      <c r="H45" s="440">
        <v>0.73333333333333339</v>
      </c>
      <c r="I45" s="440">
        <v>0.83333333333333326</v>
      </c>
      <c r="J45" s="440">
        <v>0.6</v>
      </c>
      <c r="K45" s="441">
        <v>0.66666666666666663</v>
      </c>
    </row>
    <row r="46" spans="1:11" x14ac:dyDescent="0.25">
      <c r="A46" t="s">
        <v>83</v>
      </c>
      <c r="B46" s="5">
        <v>25</v>
      </c>
      <c r="C46" s="441">
        <v>0.64</v>
      </c>
      <c r="D46" s="441">
        <v>0.8</v>
      </c>
      <c r="E46" s="441">
        <v>0.48</v>
      </c>
      <c r="F46" s="441">
        <v>0.52</v>
      </c>
      <c r="G46" s="441">
        <v>0.56000000000000005</v>
      </c>
      <c r="H46" s="441">
        <v>0.52</v>
      </c>
      <c r="I46" s="441">
        <v>0.6</v>
      </c>
      <c r="J46" s="441">
        <v>0.44000000000000006</v>
      </c>
      <c r="K46" s="441">
        <v>0.24000000000000002</v>
      </c>
    </row>
    <row r="47" spans="1:11" x14ac:dyDescent="0.25">
      <c r="A47" t="s">
        <v>129</v>
      </c>
      <c r="B47" s="5">
        <v>2</v>
      </c>
      <c r="C47" s="439" t="s">
        <v>223</v>
      </c>
      <c r="D47" s="439" t="s">
        <v>223</v>
      </c>
      <c r="E47" s="439" t="s">
        <v>223</v>
      </c>
      <c r="F47" s="439" t="s">
        <v>223</v>
      </c>
      <c r="G47" s="439" t="s">
        <v>223</v>
      </c>
      <c r="H47" s="439" t="s">
        <v>223</v>
      </c>
      <c r="I47" s="439" t="s">
        <v>223</v>
      </c>
      <c r="J47" s="439" t="s">
        <v>223</v>
      </c>
      <c r="K47" s="441"/>
    </row>
    <row r="48" spans="1:11" x14ac:dyDescent="0.25">
      <c r="A48" t="s">
        <v>87</v>
      </c>
      <c r="B48" s="160">
        <v>56</v>
      </c>
      <c r="C48" s="441">
        <v>0.4107142857142857</v>
      </c>
      <c r="D48" s="441">
        <v>0.5357142857142857</v>
      </c>
      <c r="E48" s="441">
        <v>0.3035714285714286</v>
      </c>
      <c r="F48" s="441">
        <v>0.4642857142857143</v>
      </c>
      <c r="G48" s="441">
        <v>0.46428571428571425</v>
      </c>
      <c r="H48" s="441">
        <v>0.4107142857142857</v>
      </c>
      <c r="I48" s="441">
        <v>0.64285714285714279</v>
      </c>
      <c r="J48" s="441">
        <v>0.48214285714285721</v>
      </c>
      <c r="K48" s="441">
        <v>0.21428571428571427</v>
      </c>
    </row>
    <row r="49" spans="1:11" x14ac:dyDescent="0.25">
      <c r="A49" t="s">
        <v>81</v>
      </c>
      <c r="B49" s="160">
        <v>37</v>
      </c>
      <c r="C49" s="441">
        <v>0.5135135135135136</v>
      </c>
      <c r="D49" s="441">
        <v>0.35135135135135137</v>
      </c>
      <c r="E49" s="441">
        <v>0.43243243243243246</v>
      </c>
      <c r="F49" s="441">
        <v>0.35135135135135137</v>
      </c>
      <c r="G49" s="441">
        <v>0.3783783783783784</v>
      </c>
      <c r="H49" s="441">
        <v>0.43243243243243246</v>
      </c>
      <c r="I49" s="441">
        <v>0.56756756756756754</v>
      </c>
      <c r="J49" s="441">
        <v>0.40540540540540543</v>
      </c>
      <c r="K49" s="441">
        <v>0.29729729729729731</v>
      </c>
    </row>
    <row r="50" spans="1:11" x14ac:dyDescent="0.25">
      <c r="A50" t="s">
        <v>76</v>
      </c>
      <c r="B50" s="5">
        <v>11</v>
      </c>
      <c r="C50" s="439">
        <v>0.36363636363636365</v>
      </c>
      <c r="D50" s="439">
        <v>0.63636363636363635</v>
      </c>
      <c r="E50" s="439">
        <v>0.45454545454545453</v>
      </c>
      <c r="F50" s="439">
        <v>0.63636363636363635</v>
      </c>
      <c r="G50" s="439">
        <v>0.27272727272727271</v>
      </c>
      <c r="H50" s="439">
        <v>0.54545454545454541</v>
      </c>
      <c r="I50" s="439">
        <v>0.63636363636363635</v>
      </c>
      <c r="J50" s="439">
        <v>0.45454545454545453</v>
      </c>
      <c r="K50" s="441">
        <v>0.27272727272727271</v>
      </c>
    </row>
    <row r="51" spans="1:11" x14ac:dyDescent="0.25">
      <c r="A51" t="s">
        <v>206</v>
      </c>
      <c r="B51" s="5">
        <v>0</v>
      </c>
      <c r="C51" s="439" t="s">
        <v>223</v>
      </c>
      <c r="D51" s="439" t="s">
        <v>223</v>
      </c>
      <c r="E51" s="439" t="s">
        <v>223</v>
      </c>
      <c r="F51" s="439" t="s">
        <v>223</v>
      </c>
      <c r="G51" s="439" t="s">
        <v>223</v>
      </c>
      <c r="H51" s="439" t="s">
        <v>223</v>
      </c>
      <c r="I51" s="439" t="s">
        <v>223</v>
      </c>
      <c r="J51" s="439" t="s">
        <v>223</v>
      </c>
      <c r="K51" s="439" t="s">
        <v>223</v>
      </c>
    </row>
    <row r="52" spans="1:11" x14ac:dyDescent="0.25">
      <c r="A52" t="s">
        <v>84</v>
      </c>
      <c r="B52" s="158">
        <v>27</v>
      </c>
      <c r="C52" s="439">
        <v>0.55555555555555558</v>
      </c>
      <c r="D52" s="439">
        <v>0.62962962962962954</v>
      </c>
      <c r="E52" s="439">
        <v>0.62962962962962954</v>
      </c>
      <c r="F52" s="439">
        <v>0.51851851851851849</v>
      </c>
      <c r="G52" s="439">
        <v>0.62962962962962965</v>
      </c>
      <c r="H52" s="439">
        <v>0.51851851851851849</v>
      </c>
      <c r="I52" s="439">
        <v>0.59259259259259256</v>
      </c>
      <c r="J52" s="439">
        <v>0.44444444444444442</v>
      </c>
      <c r="K52" s="441">
        <v>0.33333333333333331</v>
      </c>
    </row>
    <row r="53" spans="1:11" x14ac:dyDescent="0.25">
      <c r="A53" t="s">
        <v>130</v>
      </c>
      <c r="B53" s="158">
        <v>58</v>
      </c>
      <c r="C53" s="441">
        <v>0.65517241379310343</v>
      </c>
      <c r="D53" s="441">
        <v>0.7068965517241379</v>
      </c>
      <c r="E53" s="441">
        <v>0.41379310344827591</v>
      </c>
      <c r="F53" s="441">
        <v>0.53448275862068972</v>
      </c>
      <c r="G53" s="441">
        <v>0.68965517241379315</v>
      </c>
      <c r="H53" s="441">
        <v>0.39655172413793105</v>
      </c>
      <c r="I53" s="441">
        <v>0.46551724137931039</v>
      </c>
      <c r="J53" s="441">
        <v>0.53448275862068972</v>
      </c>
      <c r="K53" s="441">
        <v>0.43103448275862072</v>
      </c>
    </row>
    <row r="54" spans="1:11" x14ac:dyDescent="0.25">
      <c r="A54" t="s">
        <v>131</v>
      </c>
      <c r="B54" s="5">
        <v>3</v>
      </c>
      <c r="C54" s="439" t="s">
        <v>223</v>
      </c>
      <c r="D54" s="439" t="s">
        <v>223</v>
      </c>
      <c r="E54" s="439" t="s">
        <v>223</v>
      </c>
      <c r="F54" s="439" t="s">
        <v>223</v>
      </c>
      <c r="G54" s="439" t="s">
        <v>223</v>
      </c>
      <c r="H54" s="439" t="s">
        <v>223</v>
      </c>
      <c r="I54" s="439" t="s">
        <v>223</v>
      </c>
      <c r="J54" s="439" t="s">
        <v>223</v>
      </c>
      <c r="K54" s="439" t="s">
        <v>223</v>
      </c>
    </row>
    <row r="55" spans="1:11" x14ac:dyDescent="0.25">
      <c r="A55" t="s">
        <v>132</v>
      </c>
      <c r="B55" s="5">
        <v>54</v>
      </c>
      <c r="C55" s="439">
        <v>0.51851851851851849</v>
      </c>
      <c r="D55" s="439">
        <v>0.55555555555555558</v>
      </c>
      <c r="E55" s="439">
        <v>0.46296296296296291</v>
      </c>
      <c r="F55" s="439">
        <v>0.48148148148148151</v>
      </c>
      <c r="G55" s="439">
        <v>0.42592592592592593</v>
      </c>
      <c r="H55" s="439">
        <v>0.48148148148148145</v>
      </c>
      <c r="I55" s="439">
        <v>0.5</v>
      </c>
      <c r="J55" s="439">
        <v>0.42592592592592593</v>
      </c>
      <c r="K55" s="441">
        <v>0.20370370370370369</v>
      </c>
    </row>
    <row r="56" spans="1:11" x14ac:dyDescent="0.25">
      <c r="A56" t="s">
        <v>133</v>
      </c>
      <c r="B56" s="160">
        <v>36</v>
      </c>
      <c r="C56" s="439">
        <v>0.41666666666666669</v>
      </c>
      <c r="D56" s="439">
        <v>0.41666666666666663</v>
      </c>
      <c r="E56" s="439">
        <v>0.44444444444444442</v>
      </c>
      <c r="F56" s="439">
        <v>0.61111111111111116</v>
      </c>
      <c r="G56" s="439">
        <v>0.61111111111111116</v>
      </c>
      <c r="H56" s="439">
        <v>0.55555555555555558</v>
      </c>
      <c r="I56" s="439">
        <v>0.69444444444444442</v>
      </c>
      <c r="J56" s="439">
        <v>0.55555555555555558</v>
      </c>
      <c r="K56" s="441">
        <v>0.25</v>
      </c>
    </row>
    <row r="57" spans="1:11" x14ac:dyDescent="0.25">
      <c r="A57" t="s">
        <v>134</v>
      </c>
      <c r="B57" s="5">
        <v>16</v>
      </c>
      <c r="C57" s="439">
        <v>0.25</v>
      </c>
      <c r="D57" s="439">
        <v>0.5625</v>
      </c>
      <c r="E57" s="439">
        <v>0.4375</v>
      </c>
      <c r="F57" s="439">
        <v>0.6875</v>
      </c>
      <c r="G57" s="439">
        <v>0.5</v>
      </c>
      <c r="H57" s="439">
        <v>0.5</v>
      </c>
      <c r="I57" s="439">
        <v>0.625</v>
      </c>
      <c r="J57" s="439">
        <v>0.3125</v>
      </c>
      <c r="K57" s="441">
        <v>0.125</v>
      </c>
    </row>
    <row r="58" spans="1:11" x14ac:dyDescent="0.25">
      <c r="A58" t="s">
        <v>135</v>
      </c>
      <c r="B58" s="160">
        <v>38</v>
      </c>
      <c r="C58" s="439">
        <v>0.42105263157894735</v>
      </c>
      <c r="D58" s="439">
        <v>0.5</v>
      </c>
      <c r="E58" s="439">
        <v>0.57894736842105265</v>
      </c>
      <c r="F58" s="439">
        <v>0.52631578947368418</v>
      </c>
      <c r="G58" s="439">
        <v>0.60526315789473695</v>
      </c>
      <c r="H58" s="439">
        <v>0.57894736842105265</v>
      </c>
      <c r="I58" s="439">
        <v>0.71052631578947367</v>
      </c>
      <c r="J58" s="439">
        <v>0.52631578947368418</v>
      </c>
      <c r="K58" s="441">
        <v>0.26315789473684209</v>
      </c>
    </row>
    <row r="59" spans="1:11" x14ac:dyDescent="0.25">
      <c r="A59" t="s">
        <v>136</v>
      </c>
      <c r="B59" s="158">
        <v>60</v>
      </c>
      <c r="C59" s="439">
        <v>0.55000000000000004</v>
      </c>
      <c r="D59" s="441">
        <v>0.55000000000000004</v>
      </c>
      <c r="E59" s="439">
        <v>0.53333333333333333</v>
      </c>
      <c r="F59" s="441">
        <v>0.58333333333333337</v>
      </c>
      <c r="G59" s="441">
        <v>0.6333333333333333</v>
      </c>
      <c r="H59" s="441">
        <v>0.6</v>
      </c>
      <c r="I59" s="441">
        <v>0.66666666666666674</v>
      </c>
      <c r="J59" s="441">
        <v>0.5</v>
      </c>
      <c r="K59" s="441">
        <v>0.43333333333333329</v>
      </c>
    </row>
    <row r="60" spans="1:11" x14ac:dyDescent="0.25">
      <c r="A60" t="s">
        <v>86</v>
      </c>
      <c r="B60" s="5">
        <v>10</v>
      </c>
      <c r="C60" s="439">
        <v>0.8</v>
      </c>
      <c r="D60" s="439">
        <v>0.8</v>
      </c>
      <c r="E60" s="439">
        <v>0.6</v>
      </c>
      <c r="F60" s="439">
        <v>0.6</v>
      </c>
      <c r="G60" s="439">
        <v>0.8</v>
      </c>
      <c r="H60" s="439">
        <v>0.7</v>
      </c>
      <c r="I60" s="439">
        <v>0.79999999999999993</v>
      </c>
      <c r="J60" s="439">
        <v>0.6</v>
      </c>
      <c r="K60" s="441">
        <v>0.2</v>
      </c>
    </row>
    <row r="61" spans="1:11" x14ac:dyDescent="0.25">
      <c r="A61" t="s">
        <v>70</v>
      </c>
      <c r="B61" s="5">
        <f>SUM(B4:B60)</f>
        <v>1325</v>
      </c>
      <c r="C61" s="441">
        <f>AVERAGE(C4:C60)</f>
        <v>0.53592851307042921</v>
      </c>
      <c r="D61" s="441">
        <f t="shared" ref="D61:J61" si="0">AVERAGE(D4:D60)</f>
        <v>0.6187438920013717</v>
      </c>
      <c r="E61" s="441">
        <f t="shared" si="0"/>
        <v>0.54186845968839215</v>
      </c>
      <c r="F61" s="441">
        <f t="shared" si="0"/>
        <v>0.58211587038487933</v>
      </c>
      <c r="G61" s="441">
        <f t="shared" si="0"/>
        <v>0.64471490265054154</v>
      </c>
      <c r="H61" s="441">
        <f t="shared" si="0"/>
        <v>0.58626470920957152</v>
      </c>
      <c r="I61" s="441">
        <f t="shared" si="0"/>
        <v>0.67471958953229161</v>
      </c>
      <c r="J61" s="441">
        <f t="shared" si="0"/>
        <v>0.56344794615147864</v>
      </c>
      <c r="K61" s="441">
        <f>AVERAGE(K4:K60)</f>
        <v>0.3511671973614135</v>
      </c>
    </row>
    <row r="65" spans="1:11" x14ac:dyDescent="0.25">
      <c r="A65" t="s">
        <v>207</v>
      </c>
      <c r="B65" t="s">
        <v>217</v>
      </c>
      <c r="C65" s="10" t="s">
        <v>189</v>
      </c>
      <c r="D65" s="10" t="s">
        <v>190</v>
      </c>
      <c r="E65" s="10" t="s">
        <v>191</v>
      </c>
      <c r="F65" s="10" t="s">
        <v>192</v>
      </c>
      <c r="G65" s="10" t="s">
        <v>193</v>
      </c>
      <c r="H65" s="10" t="s">
        <v>194</v>
      </c>
      <c r="I65" s="10" t="s">
        <v>195</v>
      </c>
      <c r="J65" s="10" t="s">
        <v>196</v>
      </c>
      <c r="K65" s="552" t="s">
        <v>494</v>
      </c>
    </row>
    <row r="66" spans="1:11" x14ac:dyDescent="0.25">
      <c r="A66" t="s">
        <v>208</v>
      </c>
      <c r="B66" s="5">
        <v>217</v>
      </c>
      <c r="C66" s="441">
        <v>0.4516</v>
      </c>
      <c r="D66" s="441">
        <v>0.53459999999999996</v>
      </c>
      <c r="E66" s="441">
        <v>0.38250000000000001</v>
      </c>
      <c r="F66" s="441">
        <v>0.49309999999999998</v>
      </c>
      <c r="G66" s="441">
        <v>0.55300000000000005</v>
      </c>
      <c r="H66" s="441">
        <v>0.46539999999999998</v>
      </c>
      <c r="I66" s="441">
        <v>0.62670000000000003</v>
      </c>
      <c r="J66" s="441">
        <v>0.54379999999999995</v>
      </c>
      <c r="K66" s="441">
        <v>0.28570000000000001</v>
      </c>
    </row>
    <row r="67" spans="1:11" x14ac:dyDescent="0.25">
      <c r="A67" t="s">
        <v>209</v>
      </c>
      <c r="B67" s="5">
        <v>304</v>
      </c>
      <c r="C67" s="441">
        <v>0.75329999999999997</v>
      </c>
      <c r="D67" s="441">
        <v>0.74670000000000003</v>
      </c>
      <c r="E67" s="441">
        <v>0.66779999999999995</v>
      </c>
      <c r="F67" s="441">
        <v>0.70069999999999999</v>
      </c>
      <c r="G67" s="441">
        <v>0.76970000000000005</v>
      </c>
      <c r="H67" s="441">
        <v>0.65790000000000004</v>
      </c>
      <c r="I67" s="441">
        <v>0.74009999999999998</v>
      </c>
      <c r="J67" s="441">
        <v>0.65790000000000004</v>
      </c>
      <c r="K67" s="441">
        <v>0.54930000000000001</v>
      </c>
    </row>
    <row r="68" spans="1:11" x14ac:dyDescent="0.25">
      <c r="A68" t="s">
        <v>210</v>
      </c>
      <c r="B68" s="5">
        <v>322</v>
      </c>
      <c r="C68" s="441">
        <v>0.41930000000000001</v>
      </c>
      <c r="D68" s="441">
        <v>0.52170000000000005</v>
      </c>
      <c r="E68" s="441">
        <v>0.47520000000000001</v>
      </c>
      <c r="F68" s="441">
        <v>0.51239999999999997</v>
      </c>
      <c r="G68" s="441">
        <v>0.56830000000000003</v>
      </c>
      <c r="H68" s="441">
        <v>0.50309999999999999</v>
      </c>
      <c r="I68" s="441">
        <v>0.61180000000000001</v>
      </c>
      <c r="J68" s="441">
        <v>0.45960000000000001</v>
      </c>
      <c r="K68" s="441">
        <v>0.22670000000000001</v>
      </c>
    </row>
    <row r="69" spans="1:11" x14ac:dyDescent="0.25">
      <c r="A69" s="73" t="s">
        <v>211</v>
      </c>
      <c r="B69" s="5">
        <v>67</v>
      </c>
      <c r="C69" s="441">
        <v>0.5373</v>
      </c>
      <c r="D69" s="441">
        <v>0.52239999999999998</v>
      </c>
      <c r="E69" s="441">
        <v>0.5373</v>
      </c>
      <c r="F69" s="441">
        <v>0.56720000000000004</v>
      </c>
      <c r="G69" s="441">
        <v>0.62690000000000001</v>
      </c>
      <c r="H69" s="441">
        <v>0.59699999999999998</v>
      </c>
      <c r="I69" s="441">
        <v>0.65669999999999995</v>
      </c>
      <c r="J69" s="441">
        <v>0.49249999999999999</v>
      </c>
      <c r="K69" s="441">
        <v>0.43280000000000002</v>
      </c>
    </row>
    <row r="70" spans="1:11" x14ac:dyDescent="0.25">
      <c r="A70" t="s">
        <v>212</v>
      </c>
      <c r="B70" s="5">
        <v>282</v>
      </c>
      <c r="C70" s="441">
        <v>0.5071</v>
      </c>
      <c r="D70" s="441">
        <v>0.54610000000000003</v>
      </c>
      <c r="E70" s="441">
        <v>0.47520000000000001</v>
      </c>
      <c r="F70" s="441">
        <v>0.54259999999999997</v>
      </c>
      <c r="G70" s="441">
        <v>0.57089999999999996</v>
      </c>
      <c r="H70" s="441">
        <v>0.55669999999999997</v>
      </c>
      <c r="I70" s="441">
        <v>0.62409999999999999</v>
      </c>
      <c r="J70" s="441">
        <v>0.51419999999999999</v>
      </c>
      <c r="K70" s="441">
        <v>0.25180000000000002</v>
      </c>
    </row>
    <row r="71" spans="1:11" x14ac:dyDescent="0.25">
      <c r="A71" t="s">
        <v>213</v>
      </c>
      <c r="B71" s="5">
        <v>108</v>
      </c>
      <c r="C71" s="441">
        <v>0.53700000000000003</v>
      </c>
      <c r="D71" s="441">
        <v>0.71299999999999997</v>
      </c>
      <c r="E71" s="441">
        <v>0.57410000000000005</v>
      </c>
      <c r="F71" s="441">
        <v>0.62960000000000005</v>
      </c>
      <c r="G71" s="441">
        <v>0.73150000000000004</v>
      </c>
      <c r="H71" s="441">
        <v>0.62960000000000005</v>
      </c>
      <c r="I71" s="441">
        <v>0.69440000000000002</v>
      </c>
      <c r="J71" s="441">
        <v>0.62039999999999995</v>
      </c>
      <c r="K71" s="441">
        <v>0.38890000000000002</v>
      </c>
    </row>
    <row r="72" spans="1:11" x14ac:dyDescent="0.25">
      <c r="A72" t="s">
        <v>70</v>
      </c>
      <c r="B72" s="5">
        <f>SUM(B66:B71)</f>
        <v>1300</v>
      </c>
      <c r="C72" s="441">
        <f t="shared" ref="C72" si="1">AVERAGE(C66:C71)</f>
        <v>0.53426666666666656</v>
      </c>
      <c r="D72" s="441">
        <f t="shared" ref="D72" si="2">AVERAGE(D66:D71)</f>
        <v>0.59741666666666671</v>
      </c>
      <c r="E72" s="441">
        <f>AVERAGE(E66:E71)</f>
        <v>0.51868333333333339</v>
      </c>
      <c r="F72" s="441">
        <f t="shared" ref="F72:K72" si="3">AVERAGE(F66:F71)</f>
        <v>0.57426666666666659</v>
      </c>
      <c r="G72" s="441">
        <f t="shared" si="3"/>
        <v>0.63671666666666671</v>
      </c>
      <c r="H72" s="441">
        <f t="shared" si="3"/>
        <v>0.56828333333333336</v>
      </c>
      <c r="I72" s="441">
        <f t="shared" si="3"/>
        <v>0.65896666666666659</v>
      </c>
      <c r="J72" s="441">
        <f t="shared" si="3"/>
        <v>0.5480666666666667</v>
      </c>
      <c r="K72" s="441">
        <f t="shared" si="3"/>
        <v>0.35586666666666672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rgb="FF92D050"/>
  </sheetPr>
  <dimension ref="A1:L68"/>
  <sheetViews>
    <sheetView zoomScaleNormal="100" workbookViewId="0">
      <selection activeCell="B38" sqref="B38"/>
    </sheetView>
  </sheetViews>
  <sheetFormatPr defaultRowHeight="15" x14ac:dyDescent="0.25"/>
  <cols>
    <col min="1" max="1" width="0.28515625" style="160" customWidth="1"/>
    <col min="2" max="2" width="41.7109375" bestFit="1" customWidth="1"/>
    <col min="3" max="3" width="59.85546875" bestFit="1" customWidth="1"/>
    <col min="4" max="4" width="14.42578125" customWidth="1"/>
    <col min="5" max="5" width="15.28515625" customWidth="1"/>
  </cols>
  <sheetData>
    <row r="1" spans="2:12" x14ac:dyDescent="0.25">
      <c r="B1" s="8" t="s">
        <v>73</v>
      </c>
      <c r="C1" t="s">
        <v>145</v>
      </c>
      <c r="D1" t="s">
        <v>393</v>
      </c>
      <c r="E1" t="s">
        <v>394</v>
      </c>
      <c r="F1" t="s">
        <v>395</v>
      </c>
      <c r="G1" t="s">
        <v>396</v>
      </c>
      <c r="H1" t="s">
        <v>397</v>
      </c>
      <c r="I1" t="s">
        <v>398</v>
      </c>
      <c r="J1" t="s">
        <v>399</v>
      </c>
      <c r="K1" t="s">
        <v>155</v>
      </c>
      <c r="L1" t="s">
        <v>149</v>
      </c>
    </row>
    <row r="2" spans="2:12" x14ac:dyDescent="0.25">
      <c r="B2" s="9" t="s">
        <v>23</v>
      </c>
      <c r="C2" t="s">
        <v>156</v>
      </c>
      <c r="D2" s="5">
        <v>6.6</v>
      </c>
      <c r="E2" s="5">
        <v>5.2</v>
      </c>
      <c r="F2" s="5">
        <v>6.1</v>
      </c>
      <c r="G2" s="158">
        <v>4.9000000000000004</v>
      </c>
      <c r="H2" s="158">
        <v>5.0999999999999996</v>
      </c>
      <c r="I2" s="158">
        <v>5.5</v>
      </c>
      <c r="J2" s="158">
        <v>6</v>
      </c>
      <c r="K2" s="158">
        <v>6.2</v>
      </c>
      <c r="L2" s="158">
        <v>5.0999999999999996</v>
      </c>
    </row>
    <row r="3" spans="2:12" x14ac:dyDescent="0.25">
      <c r="B3" s="9" t="s">
        <v>62</v>
      </c>
      <c r="C3" t="s">
        <v>157</v>
      </c>
      <c r="D3" s="5">
        <v>7.4</v>
      </c>
      <c r="E3" s="5">
        <v>6.1</v>
      </c>
      <c r="F3" s="5">
        <v>6.8</v>
      </c>
      <c r="G3" s="158">
        <v>5.9</v>
      </c>
      <c r="H3" s="158">
        <v>5.6</v>
      </c>
      <c r="I3" s="158">
        <v>6</v>
      </c>
      <c r="J3" s="158">
        <v>6.6</v>
      </c>
      <c r="K3" s="158">
        <v>6.8</v>
      </c>
      <c r="L3" s="158">
        <v>5.7</v>
      </c>
    </row>
    <row r="4" spans="2:12" x14ac:dyDescent="0.25">
      <c r="B4" s="9" t="s">
        <v>42</v>
      </c>
      <c r="C4" t="s">
        <v>158</v>
      </c>
      <c r="D4" s="5">
        <v>6.7</v>
      </c>
      <c r="E4" s="5">
        <v>5.0999999999999996</v>
      </c>
      <c r="F4" s="5">
        <v>6.1</v>
      </c>
      <c r="G4" s="158">
        <v>5.3</v>
      </c>
      <c r="H4" s="158">
        <v>4.8</v>
      </c>
      <c r="I4" s="158">
        <v>5.2</v>
      </c>
      <c r="J4" s="158">
        <v>6</v>
      </c>
      <c r="K4" s="158">
        <v>6.2</v>
      </c>
      <c r="L4" s="158">
        <v>5.2</v>
      </c>
    </row>
    <row r="5" spans="2:12" x14ac:dyDescent="0.25">
      <c r="B5" s="9" t="s">
        <v>63</v>
      </c>
      <c r="C5" t="s">
        <v>159</v>
      </c>
      <c r="D5" s="5">
        <v>7.1</v>
      </c>
      <c r="E5" s="5">
        <v>5.7</v>
      </c>
      <c r="F5" s="5">
        <v>6.5</v>
      </c>
      <c r="G5" s="158">
        <v>5.8</v>
      </c>
      <c r="H5" s="158">
        <v>5</v>
      </c>
      <c r="I5" s="158">
        <v>5.3</v>
      </c>
      <c r="J5" s="158">
        <v>6.2</v>
      </c>
      <c r="K5" s="158">
        <v>6.8</v>
      </c>
      <c r="L5" s="158">
        <v>5.7</v>
      </c>
    </row>
    <row r="6" spans="2:12" x14ac:dyDescent="0.25">
      <c r="B6" s="9" t="s">
        <v>13</v>
      </c>
      <c r="C6" t="s">
        <v>404</v>
      </c>
      <c r="D6" s="5">
        <v>8</v>
      </c>
      <c r="E6" s="5">
        <v>7.1</v>
      </c>
      <c r="F6" s="5">
        <v>7</v>
      </c>
      <c r="G6" s="158">
        <v>6.2</v>
      </c>
      <c r="H6" s="158">
        <v>6.2</v>
      </c>
      <c r="I6" s="158">
        <v>6.4</v>
      </c>
      <c r="J6" s="158">
        <v>7.6</v>
      </c>
      <c r="K6" s="158">
        <v>7.3</v>
      </c>
      <c r="L6" s="158">
        <v>6.4</v>
      </c>
    </row>
    <row r="7" spans="2:12" x14ac:dyDescent="0.25">
      <c r="B7" s="9" t="s">
        <v>3</v>
      </c>
      <c r="D7" s="396"/>
      <c r="E7" s="396"/>
      <c r="F7" s="396"/>
      <c r="G7" s="396"/>
      <c r="H7" s="396"/>
      <c r="I7" s="396"/>
      <c r="J7" s="396"/>
      <c r="K7" s="396"/>
      <c r="L7" s="396"/>
    </row>
    <row r="8" spans="2:12" x14ac:dyDescent="0.25">
      <c r="B8" s="9" t="s">
        <v>24</v>
      </c>
      <c r="C8" t="s">
        <v>161</v>
      </c>
      <c r="D8" s="5">
        <v>7.4</v>
      </c>
      <c r="E8" s="5">
        <v>6</v>
      </c>
      <c r="F8" s="5">
        <v>6.7</v>
      </c>
      <c r="G8" s="158">
        <v>5.4</v>
      </c>
      <c r="H8" s="158">
        <v>5.6</v>
      </c>
      <c r="I8" s="158">
        <v>5.8</v>
      </c>
      <c r="J8" s="158">
        <v>7</v>
      </c>
      <c r="K8" s="158">
        <v>6.7</v>
      </c>
      <c r="L8" s="158">
        <v>5.4</v>
      </c>
    </row>
    <row r="9" spans="2:12" x14ac:dyDescent="0.25">
      <c r="B9" s="9" t="s">
        <v>43</v>
      </c>
      <c r="C9" t="s">
        <v>162</v>
      </c>
      <c r="D9" s="5">
        <v>7.1</v>
      </c>
      <c r="E9" s="5">
        <v>5.6</v>
      </c>
      <c r="F9" s="5">
        <v>6.4</v>
      </c>
      <c r="G9" s="158">
        <v>5.6</v>
      </c>
      <c r="H9" s="158">
        <v>5.5</v>
      </c>
      <c r="I9" s="158">
        <v>5.8</v>
      </c>
      <c r="J9" s="158">
        <v>6.5</v>
      </c>
      <c r="K9" s="158">
        <v>6.4</v>
      </c>
      <c r="L9" s="158">
        <v>5.5</v>
      </c>
    </row>
    <row r="10" spans="2:12" x14ac:dyDescent="0.25">
      <c r="B10" s="9" t="s">
        <v>5</v>
      </c>
      <c r="D10" s="396"/>
      <c r="E10" s="396"/>
      <c r="F10" s="396"/>
      <c r="G10" s="396"/>
      <c r="H10" s="396"/>
      <c r="I10" s="396"/>
      <c r="J10" s="396"/>
      <c r="K10" s="396"/>
      <c r="L10" s="396"/>
    </row>
    <row r="11" spans="2:12" x14ac:dyDescent="0.25">
      <c r="B11" s="9" t="s">
        <v>14</v>
      </c>
      <c r="C11" t="s">
        <v>406</v>
      </c>
      <c r="D11" s="396"/>
      <c r="E11" s="396"/>
      <c r="F11" s="396"/>
      <c r="G11" s="396"/>
      <c r="H11" s="396"/>
      <c r="I11" s="396"/>
      <c r="J11" s="396"/>
      <c r="K11" s="396"/>
      <c r="L11" s="396"/>
    </row>
    <row r="12" spans="2:12" x14ac:dyDescent="0.25">
      <c r="B12" s="9" t="s">
        <v>44</v>
      </c>
      <c r="C12" t="s">
        <v>412</v>
      </c>
      <c r="D12" s="158">
        <v>6.9</v>
      </c>
      <c r="E12" s="158">
        <v>5.3</v>
      </c>
      <c r="F12" s="158">
        <v>6.4</v>
      </c>
      <c r="G12" s="158">
        <v>5.3</v>
      </c>
      <c r="H12" s="158">
        <v>5.0999999999999996</v>
      </c>
      <c r="I12" s="158">
        <v>5.7</v>
      </c>
      <c r="J12" s="158">
        <v>6.3</v>
      </c>
      <c r="K12" s="158">
        <v>6.5</v>
      </c>
      <c r="L12" s="158">
        <v>5.2</v>
      </c>
    </row>
    <row r="13" spans="2:12" x14ac:dyDescent="0.25">
      <c r="B13" s="9" t="s">
        <v>64</v>
      </c>
      <c r="C13" t="s">
        <v>157</v>
      </c>
      <c r="D13" s="5">
        <v>7.4</v>
      </c>
      <c r="E13" s="5">
        <v>6.1</v>
      </c>
      <c r="F13" s="5">
        <v>6.8</v>
      </c>
      <c r="G13" s="158">
        <v>5.9</v>
      </c>
      <c r="H13" s="158">
        <v>5.6</v>
      </c>
      <c r="I13" s="158">
        <v>6</v>
      </c>
      <c r="J13" s="158">
        <v>6.6</v>
      </c>
      <c r="K13" s="158">
        <v>6.8</v>
      </c>
      <c r="L13" s="158">
        <v>5.7</v>
      </c>
    </row>
    <row r="14" spans="2:12" x14ac:dyDescent="0.25">
      <c r="B14" s="9" t="s">
        <v>15</v>
      </c>
      <c r="C14" t="s">
        <v>405</v>
      </c>
      <c r="D14" s="5">
        <v>8.5</v>
      </c>
      <c r="E14" s="5">
        <v>7.9</v>
      </c>
      <c r="F14" s="5">
        <v>8.4</v>
      </c>
      <c r="G14" s="158">
        <v>6.6</v>
      </c>
      <c r="H14" s="158">
        <v>7</v>
      </c>
      <c r="I14" s="158">
        <v>7.4</v>
      </c>
      <c r="J14" s="158">
        <v>7.9</v>
      </c>
      <c r="K14" s="158">
        <v>8.1</v>
      </c>
      <c r="L14" s="158">
        <v>6.6</v>
      </c>
    </row>
    <row r="15" spans="2:12" x14ac:dyDescent="0.25">
      <c r="B15" s="9" t="s">
        <v>45</v>
      </c>
      <c r="C15" t="s">
        <v>162</v>
      </c>
      <c r="D15" s="5">
        <v>6.7</v>
      </c>
      <c r="E15" s="5">
        <v>5.2</v>
      </c>
      <c r="F15" s="5">
        <v>6.4</v>
      </c>
      <c r="G15" s="158">
        <v>5.0999999999999996</v>
      </c>
      <c r="H15" s="158">
        <v>5.2</v>
      </c>
      <c r="I15" s="158">
        <v>5.7</v>
      </c>
      <c r="J15" s="158">
        <v>6.2</v>
      </c>
      <c r="K15" s="158">
        <v>6.4</v>
      </c>
      <c r="L15" s="158">
        <v>5.5</v>
      </c>
    </row>
    <row r="16" spans="2:12" x14ac:dyDescent="0.25">
      <c r="B16" s="9" t="s">
        <v>46</v>
      </c>
      <c r="C16" t="s">
        <v>163</v>
      </c>
      <c r="D16" s="5">
        <v>7.5</v>
      </c>
      <c r="E16" s="5">
        <v>6.2</v>
      </c>
      <c r="F16" s="5">
        <v>7</v>
      </c>
      <c r="G16" s="158">
        <v>6.4</v>
      </c>
      <c r="H16" s="158">
        <v>5.6</v>
      </c>
      <c r="I16" s="158">
        <v>6.5</v>
      </c>
      <c r="J16" s="158">
        <v>6.8</v>
      </c>
      <c r="K16" s="158">
        <v>7.1</v>
      </c>
      <c r="L16" s="158">
        <v>6.2</v>
      </c>
    </row>
    <row r="17" spans="2:12" x14ac:dyDescent="0.25">
      <c r="B17" s="9" t="s">
        <v>47</v>
      </c>
      <c r="C17" t="s">
        <v>164</v>
      </c>
      <c r="D17" s="5">
        <v>7.2</v>
      </c>
      <c r="E17" s="5">
        <v>5.7</v>
      </c>
      <c r="F17" s="5">
        <v>6.7</v>
      </c>
      <c r="G17" s="158">
        <v>5.9</v>
      </c>
      <c r="H17" s="158">
        <v>5.2</v>
      </c>
      <c r="I17" s="158">
        <v>5.4</v>
      </c>
      <c r="J17" s="158">
        <v>6.3</v>
      </c>
      <c r="K17" s="158">
        <v>6.9</v>
      </c>
      <c r="L17" s="158">
        <v>5.9</v>
      </c>
    </row>
    <row r="18" spans="2:12" x14ac:dyDescent="0.25">
      <c r="B18" s="9" t="s">
        <v>25</v>
      </c>
      <c r="C18" t="s">
        <v>156</v>
      </c>
      <c r="D18" s="5">
        <v>6.6</v>
      </c>
      <c r="E18" s="5">
        <v>5.2</v>
      </c>
      <c r="F18" s="5">
        <v>6.1</v>
      </c>
      <c r="G18" s="5">
        <v>4.9000000000000004</v>
      </c>
      <c r="H18" s="5">
        <v>5.0999999999999996</v>
      </c>
      <c r="I18" s="5">
        <v>5.5</v>
      </c>
      <c r="J18" s="5">
        <v>6</v>
      </c>
      <c r="K18" s="5">
        <v>6.2</v>
      </c>
      <c r="L18" s="5">
        <v>5.0999999999999996</v>
      </c>
    </row>
    <row r="19" spans="2:12" x14ac:dyDescent="0.25">
      <c r="B19" s="9" t="s">
        <v>16</v>
      </c>
      <c r="C19" t="s">
        <v>165</v>
      </c>
      <c r="D19" s="5">
        <v>8</v>
      </c>
      <c r="E19" s="5">
        <v>6.9</v>
      </c>
      <c r="F19" s="5">
        <v>7.7</v>
      </c>
      <c r="G19" s="158">
        <v>6.6</v>
      </c>
      <c r="H19" s="158">
        <v>6.5</v>
      </c>
      <c r="I19" s="158">
        <v>7.2</v>
      </c>
      <c r="J19" s="158">
        <v>7.3</v>
      </c>
      <c r="K19" s="158">
        <v>7.8</v>
      </c>
      <c r="L19" s="158">
        <v>6.5</v>
      </c>
    </row>
    <row r="20" spans="2:12" x14ac:dyDescent="0.25">
      <c r="B20" s="9" t="s">
        <v>17</v>
      </c>
      <c r="C20" t="s">
        <v>166</v>
      </c>
      <c r="D20" s="5">
        <v>8</v>
      </c>
      <c r="E20" s="5">
        <v>6.8</v>
      </c>
      <c r="F20" s="5">
        <v>7.3</v>
      </c>
      <c r="G20" s="158">
        <v>6.8</v>
      </c>
      <c r="H20" s="158">
        <v>5.9</v>
      </c>
      <c r="I20" s="158">
        <v>7.4</v>
      </c>
      <c r="J20" s="158">
        <v>7.6</v>
      </c>
      <c r="K20" s="158">
        <v>7.3</v>
      </c>
      <c r="L20" s="158">
        <v>6.4</v>
      </c>
    </row>
    <row r="21" spans="2:12" x14ac:dyDescent="0.25">
      <c r="B21" s="9" t="s">
        <v>26</v>
      </c>
      <c r="C21" t="s">
        <v>167</v>
      </c>
      <c r="D21" s="5">
        <v>5.9</v>
      </c>
      <c r="E21" s="5">
        <v>4.5999999999999996</v>
      </c>
      <c r="F21" s="5">
        <v>5.5</v>
      </c>
      <c r="G21" s="158">
        <v>4.2</v>
      </c>
      <c r="H21" s="158">
        <v>4.3</v>
      </c>
      <c r="I21" s="158">
        <v>4.9000000000000004</v>
      </c>
      <c r="J21" s="158">
        <v>5.3</v>
      </c>
      <c r="K21" s="158">
        <v>5.6</v>
      </c>
      <c r="L21" s="158">
        <v>4</v>
      </c>
    </row>
    <row r="22" spans="2:12" x14ac:dyDescent="0.25">
      <c r="B22" s="9" t="s">
        <v>27</v>
      </c>
      <c r="C22" t="s">
        <v>403</v>
      </c>
      <c r="D22" s="5">
        <v>6.9</v>
      </c>
      <c r="E22" s="5">
        <v>5.6</v>
      </c>
      <c r="F22" s="5">
        <v>6.6</v>
      </c>
      <c r="G22" s="158">
        <v>5.3</v>
      </c>
      <c r="H22" s="158">
        <v>5.4</v>
      </c>
      <c r="I22" s="158">
        <v>5.6</v>
      </c>
      <c r="J22" s="158">
        <v>6.7</v>
      </c>
      <c r="K22" s="158">
        <v>6.6</v>
      </c>
      <c r="L22" s="158">
        <v>5.4</v>
      </c>
    </row>
    <row r="23" spans="2:12" x14ac:dyDescent="0.25">
      <c r="B23" s="9" t="s">
        <v>48</v>
      </c>
      <c r="C23" t="s">
        <v>163</v>
      </c>
      <c r="D23" s="5">
        <v>7.5</v>
      </c>
      <c r="E23" s="5">
        <v>6.2</v>
      </c>
      <c r="F23" s="5">
        <v>7</v>
      </c>
      <c r="G23" s="158">
        <v>6.4</v>
      </c>
      <c r="H23" s="158">
        <v>5.6</v>
      </c>
      <c r="I23" s="158">
        <v>6.5</v>
      </c>
      <c r="J23" s="158">
        <v>6.8</v>
      </c>
      <c r="K23" s="158">
        <v>7.1</v>
      </c>
      <c r="L23" s="158">
        <v>6.2</v>
      </c>
    </row>
    <row r="24" spans="2:12" x14ac:dyDescent="0.25">
      <c r="B24" s="9" t="s">
        <v>28</v>
      </c>
      <c r="C24" t="s">
        <v>403</v>
      </c>
      <c r="D24" s="5">
        <v>6.9</v>
      </c>
      <c r="E24" s="5">
        <v>5.6</v>
      </c>
      <c r="F24" s="5">
        <v>6.6</v>
      </c>
      <c r="G24" s="158">
        <v>5.3</v>
      </c>
      <c r="H24" s="158">
        <v>5.4</v>
      </c>
      <c r="I24" s="158">
        <v>5.6</v>
      </c>
      <c r="J24" s="158">
        <v>6.7</v>
      </c>
      <c r="K24" s="158">
        <v>6.6</v>
      </c>
      <c r="L24" s="158">
        <v>5.4</v>
      </c>
    </row>
    <row r="25" spans="2:12" x14ac:dyDescent="0.25">
      <c r="B25" s="9" t="s">
        <v>49</v>
      </c>
      <c r="C25" t="s">
        <v>412</v>
      </c>
      <c r="D25" s="158">
        <v>6.9</v>
      </c>
      <c r="E25" s="158">
        <v>5.3</v>
      </c>
      <c r="F25" s="158">
        <v>6.4</v>
      </c>
      <c r="G25" s="158">
        <v>5.3</v>
      </c>
      <c r="H25" s="158">
        <v>5.0999999999999996</v>
      </c>
      <c r="I25" s="158">
        <v>5.7</v>
      </c>
      <c r="J25" s="158">
        <v>6.3</v>
      </c>
      <c r="K25" s="158">
        <v>6.5</v>
      </c>
      <c r="L25" s="158">
        <v>5.2</v>
      </c>
    </row>
    <row r="26" spans="2:12" x14ac:dyDescent="0.25">
      <c r="B26" s="9" t="s">
        <v>65</v>
      </c>
      <c r="C26" t="s">
        <v>159</v>
      </c>
      <c r="D26" s="5">
        <v>7.1</v>
      </c>
      <c r="E26" s="5">
        <v>5.7</v>
      </c>
      <c r="F26" s="5">
        <v>6.5</v>
      </c>
      <c r="G26" s="158">
        <v>5.8</v>
      </c>
      <c r="H26" s="158">
        <v>5</v>
      </c>
      <c r="I26" s="158">
        <v>5.3</v>
      </c>
      <c r="J26" s="158">
        <v>6.2</v>
      </c>
      <c r="K26" s="158">
        <v>6.8</v>
      </c>
      <c r="L26" s="158">
        <v>5.7</v>
      </c>
    </row>
    <row r="27" spans="2:12" x14ac:dyDescent="0.25">
      <c r="B27" s="9" t="s">
        <v>66</v>
      </c>
      <c r="C27" t="s">
        <v>159</v>
      </c>
      <c r="D27" s="5">
        <v>7.1</v>
      </c>
      <c r="E27" s="5">
        <v>5.7</v>
      </c>
      <c r="F27" s="5">
        <v>6.5</v>
      </c>
      <c r="G27" s="158">
        <v>5.8</v>
      </c>
      <c r="H27" s="158">
        <v>5</v>
      </c>
      <c r="I27" s="158">
        <v>5.3</v>
      </c>
      <c r="J27" s="158">
        <v>6.2</v>
      </c>
      <c r="K27" s="158">
        <v>6.8</v>
      </c>
      <c r="L27" s="158">
        <v>5.7</v>
      </c>
    </row>
    <row r="28" spans="2:12" x14ac:dyDescent="0.25">
      <c r="B28" s="9" t="s">
        <v>29</v>
      </c>
      <c r="C28" t="s">
        <v>168</v>
      </c>
      <c r="D28" s="5">
        <v>7.4</v>
      </c>
      <c r="E28" s="5">
        <v>6.1</v>
      </c>
      <c r="F28" s="5">
        <v>6.8</v>
      </c>
      <c r="G28" s="158">
        <v>5.8</v>
      </c>
      <c r="H28" s="158">
        <v>5.3</v>
      </c>
      <c r="I28" s="158">
        <v>5.8</v>
      </c>
      <c r="J28" s="158">
        <v>6.8</v>
      </c>
      <c r="K28" s="158">
        <v>6.9</v>
      </c>
      <c r="L28" s="158">
        <v>5.8</v>
      </c>
    </row>
    <row r="29" spans="2:12" x14ac:dyDescent="0.25">
      <c r="B29" s="9" t="s">
        <v>30</v>
      </c>
      <c r="C29" t="s">
        <v>401</v>
      </c>
      <c r="D29" s="5">
        <v>6.8</v>
      </c>
      <c r="E29" s="5">
        <v>5.5</v>
      </c>
      <c r="F29" s="5">
        <v>6.4</v>
      </c>
      <c r="G29" s="158">
        <v>5.0999999999999996</v>
      </c>
      <c r="H29" s="158">
        <v>5.0999999999999996</v>
      </c>
      <c r="I29" s="158">
        <v>5.5</v>
      </c>
      <c r="J29" s="158">
        <v>6.1</v>
      </c>
      <c r="K29" s="158">
        <v>6.5</v>
      </c>
      <c r="L29" s="158">
        <v>5.2</v>
      </c>
    </row>
    <row r="30" spans="2:12" x14ac:dyDescent="0.25">
      <c r="B30" s="9" t="s">
        <v>7</v>
      </c>
      <c r="C30" t="s">
        <v>169</v>
      </c>
      <c r="D30" s="5">
        <v>7.2</v>
      </c>
      <c r="E30" s="5">
        <v>6.1</v>
      </c>
      <c r="F30" s="5">
        <v>6.5</v>
      </c>
      <c r="G30" s="158">
        <v>6.7</v>
      </c>
      <c r="H30" s="158">
        <v>5.4</v>
      </c>
      <c r="I30" s="158">
        <v>6.4</v>
      </c>
      <c r="J30" s="158">
        <v>6.6</v>
      </c>
      <c r="K30" s="158">
        <v>6.8</v>
      </c>
      <c r="L30" s="158">
        <v>6.2</v>
      </c>
    </row>
    <row r="31" spans="2:12" x14ac:dyDescent="0.25">
      <c r="B31" s="9" t="s">
        <v>31</v>
      </c>
      <c r="C31" t="s">
        <v>402</v>
      </c>
      <c r="D31" s="5">
        <v>7.2</v>
      </c>
      <c r="E31" s="5">
        <v>5.9</v>
      </c>
      <c r="F31" s="5">
        <v>6.9</v>
      </c>
      <c r="G31" s="158">
        <v>5.7</v>
      </c>
      <c r="H31" s="158">
        <v>5.4</v>
      </c>
      <c r="I31" s="158">
        <v>6.2</v>
      </c>
      <c r="J31" s="158">
        <v>6.8</v>
      </c>
      <c r="K31" s="158">
        <v>7.1</v>
      </c>
      <c r="L31" s="158">
        <v>5.9</v>
      </c>
    </row>
    <row r="32" spans="2:12" x14ac:dyDescent="0.25">
      <c r="B32" s="9" t="s">
        <v>8</v>
      </c>
      <c r="C32" t="s">
        <v>170</v>
      </c>
      <c r="D32" s="5">
        <v>7</v>
      </c>
      <c r="E32" s="5">
        <v>5.8</v>
      </c>
      <c r="F32" s="5">
        <v>6.5</v>
      </c>
      <c r="G32" s="158">
        <v>5.7</v>
      </c>
      <c r="H32" s="158">
        <v>5.3</v>
      </c>
      <c r="I32" s="158">
        <v>5.9</v>
      </c>
      <c r="J32" s="158">
        <v>6.3</v>
      </c>
      <c r="K32" s="158">
        <v>6.5</v>
      </c>
      <c r="L32" s="158">
        <v>5.6</v>
      </c>
    </row>
    <row r="33" spans="2:12" x14ac:dyDescent="0.25">
      <c r="B33" s="9" t="s">
        <v>18</v>
      </c>
      <c r="C33" t="s">
        <v>407</v>
      </c>
      <c r="D33" s="5">
        <v>7.8</v>
      </c>
      <c r="E33" s="5">
        <v>6.6</v>
      </c>
      <c r="F33" s="5">
        <v>7.1</v>
      </c>
      <c r="G33" s="158">
        <v>6.8</v>
      </c>
      <c r="H33" s="158">
        <v>6</v>
      </c>
      <c r="I33" s="158">
        <v>6.8</v>
      </c>
      <c r="J33" s="158">
        <v>7.4</v>
      </c>
      <c r="K33" s="158">
        <v>7.3</v>
      </c>
      <c r="L33" s="158">
        <v>6.5</v>
      </c>
    </row>
    <row r="34" spans="2:12" x14ac:dyDescent="0.25">
      <c r="B34" s="9" t="s">
        <v>67</v>
      </c>
      <c r="C34" t="s">
        <v>171</v>
      </c>
      <c r="D34" s="5">
        <v>6.7</v>
      </c>
      <c r="E34" s="5">
        <v>5.0999999999999996</v>
      </c>
      <c r="F34" s="5">
        <v>6.3</v>
      </c>
      <c r="G34" s="158">
        <v>4.5</v>
      </c>
      <c r="H34" s="158">
        <v>4.8</v>
      </c>
      <c r="I34" s="158">
        <v>3.3</v>
      </c>
      <c r="J34" s="158">
        <v>5.6</v>
      </c>
      <c r="K34" s="158">
        <v>6.2</v>
      </c>
      <c r="L34" s="158">
        <v>4.3</v>
      </c>
    </row>
    <row r="35" spans="2:12" x14ac:dyDescent="0.25">
      <c r="B35" s="9" t="s">
        <v>32</v>
      </c>
      <c r="C35" t="s">
        <v>400</v>
      </c>
      <c r="D35" s="5">
        <v>7.3</v>
      </c>
      <c r="E35" s="5">
        <v>6</v>
      </c>
      <c r="F35" s="5">
        <v>6.7</v>
      </c>
      <c r="G35" s="158">
        <v>6</v>
      </c>
      <c r="H35" s="158">
        <v>5.2</v>
      </c>
      <c r="I35" s="158">
        <v>6.7</v>
      </c>
      <c r="J35" s="158">
        <v>6.9</v>
      </c>
      <c r="K35" s="158">
        <v>6.9</v>
      </c>
      <c r="L35" s="158">
        <v>6.1</v>
      </c>
    </row>
    <row r="36" spans="2:12" x14ac:dyDescent="0.25">
      <c r="B36" s="9" t="s">
        <v>68</v>
      </c>
      <c r="C36" t="s">
        <v>157</v>
      </c>
      <c r="D36" s="5">
        <v>7.4</v>
      </c>
      <c r="E36" s="5">
        <v>6.1</v>
      </c>
      <c r="F36" s="5">
        <v>6.8</v>
      </c>
      <c r="G36" s="158">
        <v>5.9</v>
      </c>
      <c r="H36" s="158">
        <v>5.6</v>
      </c>
      <c r="I36" s="158">
        <v>6</v>
      </c>
      <c r="J36" s="158">
        <v>6.6</v>
      </c>
      <c r="K36" s="158">
        <v>6.8</v>
      </c>
      <c r="L36" s="158">
        <v>5.7</v>
      </c>
    </row>
    <row r="37" spans="2:12" x14ac:dyDescent="0.25">
      <c r="B37" s="9" t="s">
        <v>33</v>
      </c>
      <c r="C37" t="s">
        <v>402</v>
      </c>
      <c r="D37" s="5">
        <v>7.2</v>
      </c>
      <c r="E37" s="5">
        <v>5.9</v>
      </c>
      <c r="F37" s="5">
        <v>6.9</v>
      </c>
      <c r="G37" s="158">
        <v>5.7</v>
      </c>
      <c r="H37" s="158">
        <v>5.4</v>
      </c>
      <c r="I37" s="158">
        <v>6.2</v>
      </c>
      <c r="J37" s="158">
        <v>6.8</v>
      </c>
      <c r="K37" s="158">
        <v>7.1</v>
      </c>
      <c r="L37" s="158">
        <v>5.9</v>
      </c>
    </row>
    <row r="38" spans="2:12" x14ac:dyDescent="0.25">
      <c r="B38" s="9" t="s">
        <v>34</v>
      </c>
      <c r="C38" t="s">
        <v>401</v>
      </c>
      <c r="D38" s="5">
        <v>6.8</v>
      </c>
      <c r="E38" s="5">
        <v>5.5</v>
      </c>
      <c r="F38" s="5">
        <v>6.4</v>
      </c>
      <c r="G38" s="158">
        <v>5.0999999999999996</v>
      </c>
      <c r="H38" s="158">
        <v>5.0999999999999996</v>
      </c>
      <c r="I38" s="158">
        <v>5.5</v>
      </c>
      <c r="J38" s="158">
        <v>6.1</v>
      </c>
      <c r="K38" s="158">
        <v>6.5</v>
      </c>
      <c r="L38" s="158">
        <v>5.2</v>
      </c>
    </row>
    <row r="39" spans="2:12" x14ac:dyDescent="0.25">
      <c r="B39" s="397" t="s">
        <v>90</v>
      </c>
      <c r="C39" s="358"/>
      <c r="D39" s="398"/>
      <c r="E39" s="398"/>
      <c r="F39" s="398"/>
      <c r="G39" s="398"/>
      <c r="H39" s="398"/>
      <c r="I39" s="398"/>
      <c r="J39" s="398"/>
      <c r="K39" s="398"/>
      <c r="L39" s="398"/>
    </row>
    <row r="40" spans="2:12" x14ac:dyDescent="0.25">
      <c r="B40" s="9" t="s">
        <v>50</v>
      </c>
      <c r="C40" t="s">
        <v>163</v>
      </c>
      <c r="D40" s="5">
        <v>7.5</v>
      </c>
      <c r="E40" s="5">
        <v>6.2</v>
      </c>
      <c r="F40" s="5">
        <v>7</v>
      </c>
      <c r="G40" s="158">
        <v>6.4</v>
      </c>
      <c r="H40" s="158">
        <v>5.6</v>
      </c>
      <c r="I40" s="158">
        <v>6.5</v>
      </c>
      <c r="J40" s="158">
        <v>6.8</v>
      </c>
      <c r="K40" s="158">
        <v>7.1</v>
      </c>
      <c r="L40" s="158">
        <v>6.2</v>
      </c>
    </row>
    <row r="41" spans="2:12" x14ac:dyDescent="0.25">
      <c r="B41" s="9" t="s">
        <v>19</v>
      </c>
      <c r="C41" t="s">
        <v>408</v>
      </c>
      <c r="D41" s="5">
        <v>7.3</v>
      </c>
      <c r="E41" s="5">
        <v>6.3</v>
      </c>
      <c r="F41" s="5">
        <v>6.8</v>
      </c>
      <c r="G41" s="158">
        <v>6.1</v>
      </c>
      <c r="H41" s="158">
        <v>5.4</v>
      </c>
      <c r="I41" s="158">
        <v>6</v>
      </c>
      <c r="J41" s="158">
        <v>7.1</v>
      </c>
      <c r="K41" s="158">
        <v>6.9</v>
      </c>
      <c r="L41" s="158">
        <v>5.9</v>
      </c>
    </row>
    <row r="42" spans="2:12" x14ac:dyDescent="0.25">
      <c r="B42" s="9" t="s">
        <v>51</v>
      </c>
      <c r="C42" t="s">
        <v>412</v>
      </c>
      <c r="D42" s="158">
        <v>6.9</v>
      </c>
      <c r="E42" s="158">
        <v>5.3</v>
      </c>
      <c r="F42" s="158">
        <v>6.4</v>
      </c>
      <c r="G42" s="158">
        <v>5.3</v>
      </c>
      <c r="H42" s="158">
        <v>5.0999999999999996</v>
      </c>
      <c r="I42" s="158">
        <v>5.7</v>
      </c>
      <c r="J42" s="158">
        <v>6.3</v>
      </c>
      <c r="K42" s="158">
        <v>6.5</v>
      </c>
      <c r="L42" s="158">
        <v>5.2</v>
      </c>
    </row>
    <row r="43" spans="2:12" x14ac:dyDescent="0.25">
      <c r="B43" s="9" t="s">
        <v>35</v>
      </c>
      <c r="C43" t="s">
        <v>168</v>
      </c>
      <c r="D43" s="5">
        <v>7.4</v>
      </c>
      <c r="E43" s="5">
        <v>6.1</v>
      </c>
      <c r="F43" s="5">
        <v>6.8</v>
      </c>
      <c r="G43" s="158">
        <v>5.8</v>
      </c>
      <c r="H43" s="158">
        <v>5.3</v>
      </c>
      <c r="I43" s="158">
        <v>5.8</v>
      </c>
      <c r="J43" s="158">
        <v>6.8</v>
      </c>
      <c r="K43" s="158">
        <v>6.9</v>
      </c>
      <c r="L43" s="158">
        <v>5.8</v>
      </c>
    </row>
    <row r="44" spans="2:12" x14ac:dyDescent="0.25">
      <c r="B44" s="9" t="s">
        <v>20</v>
      </c>
      <c r="C44" t="s">
        <v>409</v>
      </c>
      <c r="D44" s="5">
        <v>7.4</v>
      </c>
      <c r="E44" s="5">
        <v>6.4</v>
      </c>
      <c r="F44" s="5">
        <v>6.8</v>
      </c>
      <c r="G44" s="158">
        <v>6.5</v>
      </c>
      <c r="H44" s="158">
        <v>5.7</v>
      </c>
      <c r="I44" s="158">
        <v>6.6</v>
      </c>
      <c r="J44" s="158">
        <v>6.9</v>
      </c>
      <c r="K44" s="158">
        <v>6.8</v>
      </c>
      <c r="L44" s="158">
        <v>6.2</v>
      </c>
    </row>
    <row r="45" spans="2:12" x14ac:dyDescent="0.25">
      <c r="B45" s="9" t="s">
        <v>52</v>
      </c>
      <c r="C45" t="s">
        <v>164</v>
      </c>
      <c r="D45" s="5">
        <v>7.2</v>
      </c>
      <c r="E45" s="5">
        <v>5.7</v>
      </c>
      <c r="F45" s="5">
        <v>6.7</v>
      </c>
      <c r="G45" s="158">
        <v>5.9</v>
      </c>
      <c r="H45" s="158">
        <v>5.2</v>
      </c>
      <c r="I45" s="158">
        <v>5.4</v>
      </c>
      <c r="J45" s="158">
        <v>6.3</v>
      </c>
      <c r="K45" s="158">
        <v>6.9</v>
      </c>
      <c r="L45" s="158">
        <v>5.9</v>
      </c>
    </row>
    <row r="46" spans="2:12" x14ac:dyDescent="0.25">
      <c r="B46" s="9" t="s">
        <v>53</v>
      </c>
      <c r="C46" t="s">
        <v>163</v>
      </c>
      <c r="D46" s="5">
        <v>7.5</v>
      </c>
      <c r="E46" s="5">
        <v>6.2</v>
      </c>
      <c r="F46" s="5">
        <v>7</v>
      </c>
      <c r="G46" s="158">
        <v>6.4</v>
      </c>
      <c r="H46" s="158">
        <v>5.6</v>
      </c>
      <c r="I46" s="158">
        <v>6.5</v>
      </c>
      <c r="J46" s="158">
        <v>6.8</v>
      </c>
      <c r="K46" s="158">
        <v>7.1</v>
      </c>
      <c r="L46" s="158">
        <v>6.2</v>
      </c>
    </row>
    <row r="47" spans="2:12" x14ac:dyDescent="0.25">
      <c r="B47" s="9" t="s">
        <v>9</v>
      </c>
      <c r="C47" t="s">
        <v>172</v>
      </c>
      <c r="D47" s="5">
        <v>6.6</v>
      </c>
      <c r="E47" s="5">
        <v>5.5</v>
      </c>
      <c r="F47" s="5">
        <v>6.3</v>
      </c>
      <c r="G47" s="158">
        <v>5.6</v>
      </c>
      <c r="H47" s="158">
        <v>4.7</v>
      </c>
      <c r="I47" s="158">
        <v>4.9000000000000004</v>
      </c>
      <c r="J47" s="158">
        <v>6.1</v>
      </c>
      <c r="K47" s="158">
        <v>6.3</v>
      </c>
      <c r="L47" s="158">
        <v>5.0999999999999996</v>
      </c>
    </row>
    <row r="48" spans="2:12" x14ac:dyDescent="0.25">
      <c r="B48" s="9" t="s">
        <v>10</v>
      </c>
      <c r="C48" t="s">
        <v>173</v>
      </c>
      <c r="D48" s="5">
        <v>6.4</v>
      </c>
      <c r="E48" s="5">
        <v>4.9000000000000004</v>
      </c>
      <c r="F48" s="5">
        <v>5.9</v>
      </c>
      <c r="G48" s="158">
        <v>5</v>
      </c>
      <c r="H48" s="158">
        <v>3.9</v>
      </c>
      <c r="I48" s="158">
        <v>5.4</v>
      </c>
      <c r="J48" s="158">
        <v>5.6</v>
      </c>
      <c r="K48" s="158">
        <v>5.8</v>
      </c>
      <c r="L48" s="158">
        <v>4.4000000000000004</v>
      </c>
    </row>
    <row r="49" spans="2:12" x14ac:dyDescent="0.25">
      <c r="B49" s="9" t="s">
        <v>54</v>
      </c>
      <c r="C49" t="s">
        <v>164</v>
      </c>
      <c r="D49" s="5">
        <v>7.2</v>
      </c>
      <c r="E49" s="5">
        <v>5.7</v>
      </c>
      <c r="F49" s="5">
        <v>6.7</v>
      </c>
      <c r="G49" s="158">
        <v>5.9</v>
      </c>
      <c r="H49" s="158">
        <v>5.2</v>
      </c>
      <c r="I49" s="158">
        <v>5.4</v>
      </c>
      <c r="J49" s="158">
        <v>6.3</v>
      </c>
      <c r="K49" s="158">
        <v>6.9</v>
      </c>
      <c r="L49" s="158">
        <v>5.9</v>
      </c>
    </row>
    <row r="50" spans="2:12" x14ac:dyDescent="0.25">
      <c r="B50" s="9" t="s">
        <v>38</v>
      </c>
      <c r="C50" t="s">
        <v>160</v>
      </c>
      <c r="D50" s="396"/>
      <c r="E50" s="396"/>
      <c r="F50" s="396"/>
      <c r="G50" s="396"/>
      <c r="H50" s="396"/>
      <c r="I50" s="396"/>
      <c r="J50" s="396"/>
      <c r="K50" s="396"/>
      <c r="L50" s="396"/>
    </row>
    <row r="51" spans="2:12" x14ac:dyDescent="0.25">
      <c r="B51" s="9" t="s">
        <v>40</v>
      </c>
      <c r="C51" t="s">
        <v>410</v>
      </c>
      <c r="D51" s="5">
        <v>7.3</v>
      </c>
      <c r="E51" s="5">
        <v>6.2</v>
      </c>
      <c r="F51" s="5">
        <v>6.7</v>
      </c>
      <c r="G51" s="158">
        <v>5.9</v>
      </c>
      <c r="H51" s="158">
        <v>5.4</v>
      </c>
      <c r="I51" s="158">
        <v>5.9</v>
      </c>
      <c r="J51" s="158">
        <v>6.9</v>
      </c>
      <c r="K51" s="158">
        <v>6.9</v>
      </c>
      <c r="L51" s="158">
        <v>5.8</v>
      </c>
    </row>
    <row r="52" spans="2:12" x14ac:dyDescent="0.25">
      <c r="B52" s="9" t="s">
        <v>21</v>
      </c>
      <c r="C52" t="s">
        <v>411</v>
      </c>
      <c r="D52" s="5">
        <v>6.7</v>
      </c>
      <c r="E52" s="5">
        <v>5.5</v>
      </c>
      <c r="F52" s="5">
        <v>6.2</v>
      </c>
      <c r="G52" s="158">
        <v>6.3</v>
      </c>
      <c r="H52" s="158">
        <v>4.3</v>
      </c>
      <c r="I52" s="158">
        <v>5.6</v>
      </c>
      <c r="J52" s="158">
        <v>5.7</v>
      </c>
      <c r="K52" s="158">
        <v>6.6</v>
      </c>
      <c r="L52" s="158">
        <v>5.8</v>
      </c>
    </row>
    <row r="53" spans="2:12" x14ac:dyDescent="0.25">
      <c r="B53" s="9" t="s">
        <v>55</v>
      </c>
      <c r="C53" s="160" t="s">
        <v>400</v>
      </c>
      <c r="D53" s="5">
        <v>7.3</v>
      </c>
      <c r="E53" s="5">
        <v>6</v>
      </c>
      <c r="F53" s="5">
        <v>6.7</v>
      </c>
      <c r="G53" s="158">
        <v>6</v>
      </c>
      <c r="H53" s="158">
        <v>5.2</v>
      </c>
      <c r="I53" s="158">
        <v>6.7</v>
      </c>
      <c r="J53" s="158">
        <v>6.9</v>
      </c>
      <c r="K53" s="158">
        <v>6.9</v>
      </c>
      <c r="L53" s="158">
        <v>6.1</v>
      </c>
    </row>
    <row r="54" spans="2:12" x14ac:dyDescent="0.25">
      <c r="B54" s="9" t="s">
        <v>56</v>
      </c>
      <c r="C54" t="s">
        <v>158</v>
      </c>
      <c r="D54" s="5">
        <v>6.7</v>
      </c>
      <c r="E54" s="5">
        <v>5.0999999999999996</v>
      </c>
      <c r="F54" s="5">
        <v>6.1</v>
      </c>
      <c r="G54" s="158">
        <v>5.3</v>
      </c>
      <c r="H54" s="158">
        <v>4.8</v>
      </c>
      <c r="I54" s="158">
        <v>5.2</v>
      </c>
      <c r="J54" s="158">
        <v>6</v>
      </c>
      <c r="K54" s="158">
        <v>6.2</v>
      </c>
      <c r="L54" s="158">
        <v>5.2</v>
      </c>
    </row>
    <row r="55" spans="2:12" x14ac:dyDescent="0.25">
      <c r="B55" s="9" t="s">
        <v>11</v>
      </c>
      <c r="C55" t="s">
        <v>174</v>
      </c>
      <c r="D55" s="5">
        <v>7.3</v>
      </c>
      <c r="E55" s="5">
        <v>5.8</v>
      </c>
      <c r="F55" s="5">
        <v>6.8</v>
      </c>
      <c r="G55" s="158">
        <v>5.6</v>
      </c>
      <c r="H55" s="158">
        <v>5.6</v>
      </c>
      <c r="I55" s="158">
        <v>5.9</v>
      </c>
      <c r="J55" s="158">
        <v>6.8</v>
      </c>
      <c r="K55" s="158">
        <v>6.6</v>
      </c>
      <c r="L55" s="158">
        <v>5.4</v>
      </c>
    </row>
    <row r="56" spans="2:12" x14ac:dyDescent="0.25">
      <c r="B56" s="9" t="s">
        <v>36</v>
      </c>
      <c r="C56" t="s">
        <v>401</v>
      </c>
      <c r="D56" s="5">
        <v>6.8</v>
      </c>
      <c r="E56" s="5">
        <v>5.5</v>
      </c>
      <c r="F56" s="5">
        <v>6.4</v>
      </c>
      <c r="G56" s="158">
        <v>5.0999999999999996</v>
      </c>
      <c r="H56" s="158">
        <v>5.0999999999999996</v>
      </c>
      <c r="I56" s="158">
        <v>5.5</v>
      </c>
      <c r="J56" s="158">
        <v>6.1</v>
      </c>
      <c r="K56" s="158">
        <v>6.5</v>
      </c>
      <c r="L56" s="158">
        <v>5.2</v>
      </c>
    </row>
    <row r="57" spans="2:12" x14ac:dyDescent="0.25">
      <c r="B57" s="9" t="s">
        <v>57</v>
      </c>
      <c r="C57" t="s">
        <v>175</v>
      </c>
      <c r="D57" s="5">
        <v>7.6</v>
      </c>
      <c r="E57" s="5">
        <v>6.3</v>
      </c>
      <c r="F57" s="5">
        <v>7.1</v>
      </c>
      <c r="G57" s="158">
        <v>5.9</v>
      </c>
      <c r="H57" s="158">
        <v>5.8</v>
      </c>
      <c r="I57" s="158">
        <v>6.5</v>
      </c>
      <c r="J57" s="158">
        <v>7</v>
      </c>
      <c r="K57" s="158">
        <v>7.1</v>
      </c>
      <c r="L57" s="158">
        <v>5.9</v>
      </c>
    </row>
    <row r="58" spans="2:12" x14ac:dyDescent="0.25">
      <c r="B58" s="9" t="s">
        <v>60</v>
      </c>
      <c r="C58" t="s">
        <v>160</v>
      </c>
      <c r="D58" s="396"/>
      <c r="E58" s="396"/>
      <c r="F58" s="396"/>
      <c r="G58" s="396"/>
      <c r="H58" s="396"/>
      <c r="I58" s="396"/>
      <c r="J58" s="396"/>
      <c r="K58" s="396"/>
      <c r="L58" s="396"/>
    </row>
    <row r="59" spans="2:12" x14ac:dyDescent="0.25">
      <c r="B59" s="9" t="s">
        <v>58</v>
      </c>
      <c r="C59" t="s">
        <v>412</v>
      </c>
      <c r="D59" s="158">
        <v>6.9</v>
      </c>
      <c r="E59" s="158">
        <v>5.3</v>
      </c>
      <c r="F59" s="158">
        <v>6.4</v>
      </c>
      <c r="G59" s="158">
        <v>5.3</v>
      </c>
      <c r="H59" s="158">
        <v>5.0999999999999996</v>
      </c>
      <c r="I59" s="158">
        <v>5.7</v>
      </c>
      <c r="J59" s="158">
        <v>6.3</v>
      </c>
      <c r="K59" s="158">
        <v>6.5</v>
      </c>
      <c r="L59" s="158">
        <v>5.2</v>
      </c>
    </row>
    <row r="60" spans="2:12" x14ac:dyDescent="0.25">
      <c r="C60" t="s">
        <v>176</v>
      </c>
      <c r="D60" s="5"/>
      <c r="E60" s="5"/>
      <c r="F60" s="5"/>
      <c r="G60" s="5"/>
      <c r="H60" s="5"/>
      <c r="I60" s="5"/>
      <c r="J60" s="5"/>
      <c r="K60" s="5"/>
      <c r="L60" s="5"/>
    </row>
    <row r="63" spans="2:12" x14ac:dyDescent="0.25">
      <c r="B63" s="160" t="s">
        <v>207</v>
      </c>
      <c r="D63" s="160" t="s">
        <v>393</v>
      </c>
      <c r="E63" s="160" t="s">
        <v>394</v>
      </c>
      <c r="F63" s="160" t="s">
        <v>395</v>
      </c>
      <c r="G63" s="160" t="s">
        <v>396</v>
      </c>
      <c r="H63" s="160" t="s">
        <v>397</v>
      </c>
      <c r="I63" s="160" t="s">
        <v>398</v>
      </c>
      <c r="J63" s="160" t="s">
        <v>399</v>
      </c>
      <c r="K63" s="160" t="s">
        <v>155</v>
      </c>
      <c r="L63" s="160" t="s">
        <v>149</v>
      </c>
    </row>
    <row r="64" spans="2:12" x14ac:dyDescent="0.25">
      <c r="B64" s="304" t="s">
        <v>6</v>
      </c>
      <c r="D64">
        <v>6.9</v>
      </c>
      <c r="E64">
        <v>5.7</v>
      </c>
      <c r="F64">
        <v>6.4</v>
      </c>
      <c r="G64">
        <v>5.7</v>
      </c>
      <c r="H64">
        <v>5</v>
      </c>
      <c r="I64">
        <v>5.7</v>
      </c>
      <c r="J64">
        <v>6.3</v>
      </c>
      <c r="K64">
        <v>6.4</v>
      </c>
      <c r="L64">
        <v>5.4</v>
      </c>
    </row>
    <row r="65" spans="2:12" x14ac:dyDescent="0.25">
      <c r="B65" s="304" t="s">
        <v>12</v>
      </c>
      <c r="D65">
        <v>7.4</v>
      </c>
      <c r="E65">
        <v>6.3</v>
      </c>
      <c r="F65">
        <v>6.9</v>
      </c>
      <c r="G65">
        <v>6.5</v>
      </c>
      <c r="H65">
        <v>5.5</v>
      </c>
      <c r="I65">
        <v>6.5</v>
      </c>
      <c r="J65">
        <v>6.8</v>
      </c>
      <c r="K65">
        <v>7</v>
      </c>
      <c r="L65">
        <v>6.2</v>
      </c>
    </row>
    <row r="66" spans="2:12" x14ac:dyDescent="0.25">
      <c r="B66" s="304" t="s">
        <v>22</v>
      </c>
      <c r="D66">
        <v>6.9</v>
      </c>
      <c r="E66">
        <v>5.5</v>
      </c>
      <c r="F66">
        <v>6.4</v>
      </c>
      <c r="G66">
        <v>5.2</v>
      </c>
      <c r="H66">
        <v>5.0999999999999996</v>
      </c>
      <c r="I66">
        <v>5.6</v>
      </c>
      <c r="J66">
        <v>6.3</v>
      </c>
      <c r="K66">
        <v>6.5</v>
      </c>
      <c r="L66">
        <v>5.3</v>
      </c>
    </row>
    <row r="67" spans="2:12" x14ac:dyDescent="0.25">
      <c r="B67" s="304" t="s">
        <v>41</v>
      </c>
      <c r="D67">
        <v>7.1</v>
      </c>
      <c r="E67">
        <v>5.6</v>
      </c>
      <c r="F67">
        <v>6.5</v>
      </c>
      <c r="G67">
        <v>5.6</v>
      </c>
      <c r="H67">
        <v>5.3</v>
      </c>
      <c r="I67">
        <v>5.7</v>
      </c>
      <c r="J67">
        <v>6.4</v>
      </c>
      <c r="K67">
        <v>6.6</v>
      </c>
      <c r="L67">
        <v>5.6</v>
      </c>
    </row>
    <row r="68" spans="2:12" x14ac:dyDescent="0.25">
      <c r="B68" s="395" t="s">
        <v>61</v>
      </c>
      <c r="D68">
        <v>7.2</v>
      </c>
      <c r="E68">
        <v>5.8</v>
      </c>
      <c r="F68">
        <v>6.6</v>
      </c>
      <c r="G68">
        <v>5.6</v>
      </c>
      <c r="H68">
        <v>5.3</v>
      </c>
      <c r="I68">
        <v>5.2</v>
      </c>
      <c r="J68">
        <v>6.3</v>
      </c>
      <c r="K68">
        <v>6.7</v>
      </c>
      <c r="L68">
        <v>5.4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rgb="FF00B050"/>
  </sheetPr>
  <dimension ref="A1:C71"/>
  <sheetViews>
    <sheetView topLeftCell="A37" workbookViewId="0">
      <selection activeCell="H71" sqref="H71"/>
    </sheetView>
  </sheetViews>
  <sheetFormatPr defaultRowHeight="15" x14ac:dyDescent="0.25"/>
  <cols>
    <col min="1" max="1" width="56" bestFit="1" customWidth="1"/>
    <col min="2" max="2" width="41" bestFit="1" customWidth="1"/>
    <col min="3" max="3" width="41.5703125" bestFit="1" customWidth="1"/>
  </cols>
  <sheetData>
    <row r="1" spans="1:3" x14ac:dyDescent="0.25">
      <c r="A1" s="6" t="s">
        <v>73</v>
      </c>
      <c r="B1" s="6" t="s">
        <v>74</v>
      </c>
    </row>
    <row r="2" spans="1:3" x14ac:dyDescent="0.25">
      <c r="A2" t="s">
        <v>23</v>
      </c>
      <c r="B2" t="s">
        <v>22</v>
      </c>
      <c r="C2" t="s">
        <v>80</v>
      </c>
    </row>
    <row r="3" spans="1:3" x14ac:dyDescent="0.25">
      <c r="A3" t="s">
        <v>62</v>
      </c>
      <c r="B3" t="s">
        <v>61</v>
      </c>
      <c r="C3" t="s">
        <v>97</v>
      </c>
    </row>
    <row r="4" spans="1:3" x14ac:dyDescent="0.25">
      <c r="A4" t="s">
        <v>42</v>
      </c>
      <c r="B4" t="s">
        <v>41</v>
      </c>
      <c r="C4" t="s">
        <v>202</v>
      </c>
    </row>
    <row r="5" spans="1:3" x14ac:dyDescent="0.25">
      <c r="A5" t="s">
        <v>63</v>
      </c>
      <c r="B5" t="s">
        <v>61</v>
      </c>
      <c r="C5" t="s">
        <v>98</v>
      </c>
    </row>
    <row r="6" spans="1:3" x14ac:dyDescent="0.25">
      <c r="A6" t="s">
        <v>13</v>
      </c>
      <c r="B6" t="s">
        <v>12</v>
      </c>
      <c r="C6" t="s">
        <v>99</v>
      </c>
    </row>
    <row r="7" spans="1:3" x14ac:dyDescent="0.25">
      <c r="A7" t="s">
        <v>3</v>
      </c>
      <c r="B7" t="s">
        <v>2</v>
      </c>
      <c r="C7" t="s">
        <v>203</v>
      </c>
    </row>
    <row r="8" spans="1:3" x14ac:dyDescent="0.25">
      <c r="A8" t="s">
        <v>24</v>
      </c>
      <c r="B8" t="s">
        <v>22</v>
      </c>
      <c r="C8" t="s">
        <v>77</v>
      </c>
    </row>
    <row r="9" spans="1:3" x14ac:dyDescent="0.25">
      <c r="A9" t="s">
        <v>43</v>
      </c>
      <c r="B9" t="s">
        <v>41</v>
      </c>
      <c r="C9" t="s">
        <v>100</v>
      </c>
    </row>
    <row r="10" spans="1:3" x14ac:dyDescent="0.25">
      <c r="A10" t="s">
        <v>5</v>
      </c>
      <c r="B10" t="s">
        <v>4</v>
      </c>
      <c r="C10" s="73" t="s">
        <v>279</v>
      </c>
    </row>
    <row r="11" spans="1:3" x14ac:dyDescent="0.25">
      <c r="A11" t="s">
        <v>14</v>
      </c>
      <c r="B11" t="s">
        <v>12</v>
      </c>
      <c r="C11" t="s">
        <v>101</v>
      </c>
    </row>
    <row r="12" spans="1:3" x14ac:dyDescent="0.25">
      <c r="A12" t="s">
        <v>44</v>
      </c>
      <c r="B12" t="s">
        <v>41</v>
      </c>
      <c r="C12" t="s">
        <v>103</v>
      </c>
    </row>
    <row r="13" spans="1:3" x14ac:dyDescent="0.25">
      <c r="A13" t="s">
        <v>64</v>
      </c>
      <c r="B13" t="s">
        <v>61</v>
      </c>
      <c r="C13" t="s">
        <v>104</v>
      </c>
    </row>
    <row r="14" spans="1:3" x14ac:dyDescent="0.25">
      <c r="A14" t="s">
        <v>15</v>
      </c>
      <c r="B14" t="s">
        <v>12</v>
      </c>
      <c r="C14" t="s">
        <v>105</v>
      </c>
    </row>
    <row r="15" spans="1:3" x14ac:dyDescent="0.25">
      <c r="A15" t="s">
        <v>45</v>
      </c>
      <c r="B15" t="s">
        <v>41</v>
      </c>
      <c r="C15" t="s">
        <v>106</v>
      </c>
    </row>
    <row r="16" spans="1:3" x14ac:dyDescent="0.25">
      <c r="A16" t="s">
        <v>46</v>
      </c>
      <c r="B16" t="s">
        <v>41</v>
      </c>
      <c r="C16" t="s">
        <v>107</v>
      </c>
    </row>
    <row r="17" spans="1:3" x14ac:dyDescent="0.25">
      <c r="A17" t="s">
        <v>47</v>
      </c>
      <c r="B17" t="s">
        <v>41</v>
      </c>
      <c r="C17" t="s">
        <v>82</v>
      </c>
    </row>
    <row r="18" spans="1:3" x14ac:dyDescent="0.25">
      <c r="A18" t="s">
        <v>25</v>
      </c>
      <c r="B18" t="s">
        <v>22</v>
      </c>
      <c r="C18" t="s">
        <v>108</v>
      </c>
    </row>
    <row r="19" spans="1:3" x14ac:dyDescent="0.25">
      <c r="A19" t="s">
        <v>16</v>
      </c>
      <c r="B19" t="s">
        <v>12</v>
      </c>
      <c r="C19" t="s">
        <v>204</v>
      </c>
    </row>
    <row r="20" spans="1:3" x14ac:dyDescent="0.25">
      <c r="A20" t="s">
        <v>17</v>
      </c>
      <c r="B20" t="s">
        <v>12</v>
      </c>
      <c r="C20" t="s">
        <v>205</v>
      </c>
    </row>
    <row r="21" spans="1:3" x14ac:dyDescent="0.25">
      <c r="A21" t="s">
        <v>26</v>
      </c>
      <c r="B21" t="s">
        <v>22</v>
      </c>
      <c r="C21" t="s">
        <v>110</v>
      </c>
    </row>
    <row r="22" spans="1:3" x14ac:dyDescent="0.25">
      <c r="A22" t="s">
        <v>27</v>
      </c>
      <c r="B22" t="s">
        <v>22</v>
      </c>
      <c r="C22" t="s">
        <v>85</v>
      </c>
    </row>
    <row r="23" spans="1:3" x14ac:dyDescent="0.25">
      <c r="A23" t="s">
        <v>48</v>
      </c>
      <c r="B23" t="s">
        <v>41</v>
      </c>
      <c r="C23" t="s">
        <v>111</v>
      </c>
    </row>
    <row r="24" spans="1:3" x14ac:dyDescent="0.25">
      <c r="A24" t="s">
        <v>28</v>
      </c>
      <c r="B24" t="s">
        <v>22</v>
      </c>
      <c r="C24" t="s">
        <v>112</v>
      </c>
    </row>
    <row r="25" spans="1:3" x14ac:dyDescent="0.25">
      <c r="A25" t="s">
        <v>49</v>
      </c>
      <c r="B25" t="s">
        <v>41</v>
      </c>
      <c r="C25" t="s">
        <v>113</v>
      </c>
    </row>
    <row r="26" spans="1:3" x14ac:dyDescent="0.25">
      <c r="A26" t="s">
        <v>65</v>
      </c>
      <c r="B26" t="s">
        <v>61</v>
      </c>
      <c r="C26" t="s">
        <v>114</v>
      </c>
    </row>
    <row r="27" spans="1:3" x14ac:dyDescent="0.25">
      <c r="A27" t="s">
        <v>66</v>
      </c>
      <c r="B27" t="s">
        <v>61</v>
      </c>
      <c r="C27" t="s">
        <v>115</v>
      </c>
    </row>
    <row r="28" spans="1:3" x14ac:dyDescent="0.25">
      <c r="A28" t="s">
        <v>29</v>
      </c>
      <c r="B28" t="s">
        <v>22</v>
      </c>
      <c r="C28" t="s">
        <v>116</v>
      </c>
    </row>
    <row r="29" spans="1:3" x14ac:dyDescent="0.25">
      <c r="A29" t="s">
        <v>30</v>
      </c>
      <c r="B29" t="s">
        <v>22</v>
      </c>
      <c r="C29" t="s">
        <v>117</v>
      </c>
    </row>
    <row r="30" spans="1:3" x14ac:dyDescent="0.25">
      <c r="A30" t="s">
        <v>7</v>
      </c>
      <c r="B30" t="s">
        <v>6</v>
      </c>
      <c r="C30" t="s">
        <v>118</v>
      </c>
    </row>
    <row r="31" spans="1:3" x14ac:dyDescent="0.25">
      <c r="A31" t="s">
        <v>31</v>
      </c>
      <c r="B31" t="s">
        <v>22</v>
      </c>
      <c r="C31" t="s">
        <v>88</v>
      </c>
    </row>
    <row r="32" spans="1:3" x14ac:dyDescent="0.25">
      <c r="A32" t="s">
        <v>8</v>
      </c>
      <c r="B32" t="s">
        <v>6</v>
      </c>
      <c r="C32" t="s">
        <v>75</v>
      </c>
    </row>
    <row r="33" spans="1:3" x14ac:dyDescent="0.25">
      <c r="A33" t="s">
        <v>18</v>
      </c>
      <c r="B33" t="s">
        <v>12</v>
      </c>
      <c r="C33" t="s">
        <v>119</v>
      </c>
    </row>
    <row r="34" spans="1:3" x14ac:dyDescent="0.25">
      <c r="A34" t="s">
        <v>67</v>
      </c>
      <c r="B34" t="s">
        <v>61</v>
      </c>
      <c r="C34" t="s">
        <v>120</v>
      </c>
    </row>
    <row r="35" spans="1:3" x14ac:dyDescent="0.25">
      <c r="A35" t="s">
        <v>89</v>
      </c>
      <c r="B35" t="s">
        <v>22</v>
      </c>
    </row>
    <row r="36" spans="1:3" x14ac:dyDescent="0.25">
      <c r="A36" t="s">
        <v>32</v>
      </c>
      <c r="B36" t="s">
        <v>22</v>
      </c>
      <c r="C36" t="s">
        <v>121</v>
      </c>
    </row>
    <row r="37" spans="1:3" x14ac:dyDescent="0.25">
      <c r="A37" t="s">
        <v>68</v>
      </c>
      <c r="B37" t="s">
        <v>61</v>
      </c>
      <c r="C37" t="s">
        <v>122</v>
      </c>
    </row>
    <row r="38" spans="1:3" x14ac:dyDescent="0.25">
      <c r="A38" t="s">
        <v>33</v>
      </c>
      <c r="B38" t="s">
        <v>22</v>
      </c>
      <c r="C38" t="s">
        <v>123</v>
      </c>
    </row>
    <row r="39" spans="1:3" x14ac:dyDescent="0.25">
      <c r="A39" t="s">
        <v>34</v>
      </c>
      <c r="B39" t="s">
        <v>22</v>
      </c>
      <c r="C39" t="s">
        <v>124</v>
      </c>
    </row>
    <row r="40" spans="1:3" x14ac:dyDescent="0.25">
      <c r="A40" t="s">
        <v>90</v>
      </c>
      <c r="B40" t="s">
        <v>214</v>
      </c>
    </row>
    <row r="41" spans="1:3" x14ac:dyDescent="0.25">
      <c r="A41" t="s">
        <v>50</v>
      </c>
      <c r="B41" t="s">
        <v>41</v>
      </c>
      <c r="C41" t="s">
        <v>78</v>
      </c>
    </row>
    <row r="42" spans="1:3" x14ac:dyDescent="0.25">
      <c r="A42" t="s">
        <v>19</v>
      </c>
      <c r="B42" t="s">
        <v>12</v>
      </c>
      <c r="C42" t="s">
        <v>125</v>
      </c>
    </row>
    <row r="43" spans="1:3" x14ac:dyDescent="0.25">
      <c r="A43" t="s">
        <v>51</v>
      </c>
      <c r="B43" t="s">
        <v>41</v>
      </c>
      <c r="C43" t="s">
        <v>126</v>
      </c>
    </row>
    <row r="44" spans="1:3" x14ac:dyDescent="0.25">
      <c r="A44" t="s">
        <v>35</v>
      </c>
      <c r="B44" t="s">
        <v>22</v>
      </c>
      <c r="C44" t="s">
        <v>127</v>
      </c>
    </row>
    <row r="45" spans="1:3" x14ac:dyDescent="0.25">
      <c r="A45" t="s">
        <v>20</v>
      </c>
      <c r="B45" t="s">
        <v>12</v>
      </c>
      <c r="C45" t="s">
        <v>128</v>
      </c>
    </row>
    <row r="46" spans="1:3" x14ac:dyDescent="0.25">
      <c r="A46" t="s">
        <v>52</v>
      </c>
      <c r="B46" t="s">
        <v>41</v>
      </c>
      <c r="C46" t="s">
        <v>83</v>
      </c>
    </row>
    <row r="47" spans="1:3" x14ac:dyDescent="0.25">
      <c r="A47" t="s">
        <v>53</v>
      </c>
      <c r="B47" t="s">
        <v>41</v>
      </c>
      <c r="C47" t="s">
        <v>129</v>
      </c>
    </row>
    <row r="48" spans="1:3" x14ac:dyDescent="0.25">
      <c r="A48" t="s">
        <v>9</v>
      </c>
      <c r="B48" t="s">
        <v>6</v>
      </c>
      <c r="C48" t="s">
        <v>87</v>
      </c>
    </row>
    <row r="49" spans="1:3" x14ac:dyDescent="0.25">
      <c r="A49" t="s">
        <v>10</v>
      </c>
      <c r="B49" t="s">
        <v>6</v>
      </c>
      <c r="C49" t="s">
        <v>81</v>
      </c>
    </row>
    <row r="50" spans="1:3" x14ac:dyDescent="0.25">
      <c r="A50" t="s">
        <v>54</v>
      </c>
      <c r="B50" t="s">
        <v>41</v>
      </c>
      <c r="C50" t="s">
        <v>76</v>
      </c>
    </row>
    <row r="51" spans="1:3" x14ac:dyDescent="0.25">
      <c r="A51" t="s">
        <v>38</v>
      </c>
      <c r="B51" t="s">
        <v>37</v>
      </c>
      <c r="C51" t="s">
        <v>206</v>
      </c>
    </row>
    <row r="52" spans="1:3" x14ac:dyDescent="0.25">
      <c r="A52" t="s">
        <v>40</v>
      </c>
      <c r="B52" t="s">
        <v>39</v>
      </c>
      <c r="C52" t="s">
        <v>84</v>
      </c>
    </row>
    <row r="53" spans="1:3" x14ac:dyDescent="0.25">
      <c r="A53" t="s">
        <v>21</v>
      </c>
      <c r="B53" t="s">
        <v>12</v>
      </c>
      <c r="C53" t="s">
        <v>130</v>
      </c>
    </row>
    <row r="54" spans="1:3" x14ac:dyDescent="0.25">
      <c r="A54" t="s">
        <v>55</v>
      </c>
      <c r="B54" t="s">
        <v>41</v>
      </c>
      <c r="C54" t="s">
        <v>131</v>
      </c>
    </row>
    <row r="55" spans="1:3" x14ac:dyDescent="0.25">
      <c r="A55" t="s">
        <v>56</v>
      </c>
      <c r="B55" t="s">
        <v>41</v>
      </c>
      <c r="C55" t="s">
        <v>132</v>
      </c>
    </row>
    <row r="56" spans="1:3" x14ac:dyDescent="0.25">
      <c r="A56" t="s">
        <v>11</v>
      </c>
      <c r="B56" t="s">
        <v>6</v>
      </c>
      <c r="C56" t="s">
        <v>133</v>
      </c>
    </row>
    <row r="57" spans="1:3" x14ac:dyDescent="0.25">
      <c r="A57" t="s">
        <v>36</v>
      </c>
      <c r="B57" t="s">
        <v>22</v>
      </c>
      <c r="C57" t="s">
        <v>134</v>
      </c>
    </row>
    <row r="58" spans="1:3" x14ac:dyDescent="0.25">
      <c r="A58" t="s">
        <v>57</v>
      </c>
      <c r="B58" t="s">
        <v>41</v>
      </c>
      <c r="C58" t="s">
        <v>135</v>
      </c>
    </row>
    <row r="59" spans="1:3" x14ac:dyDescent="0.25">
      <c r="A59" t="s">
        <v>60</v>
      </c>
      <c r="B59" t="s">
        <v>59</v>
      </c>
      <c r="C59" t="s">
        <v>136</v>
      </c>
    </row>
    <row r="60" spans="1:3" x14ac:dyDescent="0.25">
      <c r="A60" t="s">
        <v>58</v>
      </c>
      <c r="B60" t="s">
        <v>41</v>
      </c>
      <c r="C60" t="s">
        <v>86</v>
      </c>
    </row>
    <row r="61" spans="1:3" x14ac:dyDescent="0.25">
      <c r="A61" t="s">
        <v>69</v>
      </c>
      <c r="B61" t="s">
        <v>61</v>
      </c>
    </row>
    <row r="62" spans="1:3" x14ac:dyDescent="0.25">
      <c r="A62" s="71" t="s">
        <v>2</v>
      </c>
      <c r="B62" s="71" t="s">
        <v>2</v>
      </c>
    </row>
    <row r="63" spans="1:3" x14ac:dyDescent="0.25">
      <c r="A63" s="71" t="s">
        <v>4</v>
      </c>
      <c r="B63" s="71" t="s">
        <v>4</v>
      </c>
    </row>
    <row r="64" spans="1:3" x14ac:dyDescent="0.25">
      <c r="A64" s="71" t="s">
        <v>6</v>
      </c>
      <c r="B64" s="71" t="s">
        <v>6</v>
      </c>
      <c r="C64" t="s">
        <v>208</v>
      </c>
    </row>
    <row r="65" spans="1:3" x14ac:dyDescent="0.25">
      <c r="A65" s="71" t="s">
        <v>12</v>
      </c>
      <c r="B65" s="71" t="s">
        <v>12</v>
      </c>
      <c r="C65" t="s">
        <v>209</v>
      </c>
    </row>
    <row r="66" spans="1:3" x14ac:dyDescent="0.25">
      <c r="A66" s="71" t="s">
        <v>22</v>
      </c>
      <c r="B66" s="71" t="s">
        <v>22</v>
      </c>
      <c r="C66" t="s">
        <v>210</v>
      </c>
    </row>
    <row r="67" spans="1:3" x14ac:dyDescent="0.25">
      <c r="A67" s="71" t="s">
        <v>37</v>
      </c>
      <c r="B67" s="71" t="s">
        <v>37</v>
      </c>
    </row>
    <row r="68" spans="1:3" x14ac:dyDescent="0.25">
      <c r="A68" s="71" t="s">
        <v>39</v>
      </c>
      <c r="B68" s="71" t="s">
        <v>39</v>
      </c>
    </row>
    <row r="69" spans="1:3" x14ac:dyDescent="0.25">
      <c r="A69" s="71" t="s">
        <v>41</v>
      </c>
      <c r="B69" s="71" t="s">
        <v>41</v>
      </c>
      <c r="C69" t="s">
        <v>212</v>
      </c>
    </row>
    <row r="70" spans="1:3" x14ac:dyDescent="0.25">
      <c r="A70" s="71" t="s">
        <v>59</v>
      </c>
      <c r="B70" s="71" t="s">
        <v>59</v>
      </c>
    </row>
    <row r="71" spans="1:3" x14ac:dyDescent="0.25">
      <c r="A71" s="72" t="s">
        <v>61</v>
      </c>
      <c r="B71" s="72" t="s">
        <v>61</v>
      </c>
      <c r="C71" t="s">
        <v>213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B050"/>
  </sheetPr>
  <dimension ref="A1:AW4"/>
  <sheetViews>
    <sheetView workbookViewId="0">
      <selection activeCell="Z4" sqref="Z4"/>
    </sheetView>
  </sheetViews>
  <sheetFormatPr defaultRowHeight="15" x14ac:dyDescent="0.25"/>
  <cols>
    <col min="1" max="1" width="17.28515625" bestFit="1" customWidth="1"/>
  </cols>
  <sheetData>
    <row r="1" spans="1:49" ht="15.75" thickBot="1" x14ac:dyDescent="0.3">
      <c r="A1" s="18"/>
      <c r="B1" s="19"/>
      <c r="C1" s="20"/>
      <c r="D1" s="20"/>
      <c r="E1" s="19"/>
      <c r="F1" s="19"/>
      <c r="G1" s="19"/>
      <c r="H1" s="19"/>
      <c r="I1" s="665" t="s">
        <v>181</v>
      </c>
      <c r="J1" s="666"/>
      <c r="K1" s="666"/>
      <c r="L1" s="667"/>
      <c r="M1" s="668"/>
      <c r="N1" s="669" t="s">
        <v>183</v>
      </c>
      <c r="O1" s="639"/>
      <c r="P1" s="670"/>
      <c r="Q1" s="638" t="s">
        <v>188</v>
      </c>
      <c r="R1" s="639"/>
      <c r="S1" s="639"/>
      <c r="T1" s="639"/>
      <c r="U1" s="639"/>
      <c r="V1" s="639"/>
      <c r="W1" s="639"/>
      <c r="X1" s="639"/>
      <c r="Y1" s="639"/>
      <c r="Z1" s="639"/>
      <c r="AA1" s="639"/>
      <c r="AB1" s="639"/>
      <c r="AC1" s="639"/>
      <c r="AD1" s="639"/>
      <c r="AE1" s="639"/>
      <c r="AF1" s="640"/>
      <c r="AG1" s="58"/>
      <c r="AH1" s="22"/>
      <c r="AI1" s="61"/>
      <c r="AJ1" s="669" t="s">
        <v>180</v>
      </c>
      <c r="AK1" s="671"/>
      <c r="AL1" s="671"/>
      <c r="AM1" s="671"/>
      <c r="AN1" s="671"/>
      <c r="AO1" s="671"/>
      <c r="AP1" s="671"/>
      <c r="AQ1" s="671"/>
      <c r="AR1" s="671"/>
      <c r="AS1" s="670"/>
      <c r="AT1" s="22"/>
      <c r="AU1" s="638" t="s">
        <v>219</v>
      </c>
      <c r="AV1" s="639"/>
      <c r="AW1" s="640"/>
    </row>
    <row r="2" spans="1:49" s="11" customFormat="1" ht="125.25" customHeight="1" thickBot="1" x14ac:dyDescent="0.25">
      <c r="A2" s="26" t="s">
        <v>216</v>
      </c>
      <c r="B2" s="26" t="s">
        <v>186</v>
      </c>
      <c r="C2" s="662" t="s">
        <v>198</v>
      </c>
      <c r="D2" s="664"/>
      <c r="E2" s="672" t="s">
        <v>199</v>
      </c>
      <c r="F2" s="674"/>
      <c r="G2" s="672" t="s">
        <v>215</v>
      </c>
      <c r="H2" s="673"/>
      <c r="I2" s="41" t="s">
        <v>177</v>
      </c>
      <c r="J2" s="27" t="s">
        <v>178</v>
      </c>
      <c r="K2" s="662" t="s">
        <v>179</v>
      </c>
      <c r="L2" s="664"/>
      <c r="M2" s="50" t="s">
        <v>71</v>
      </c>
      <c r="N2" s="676" t="s">
        <v>182</v>
      </c>
      <c r="O2" s="677"/>
      <c r="P2" s="30" t="s">
        <v>95</v>
      </c>
      <c r="Q2" s="26" t="s">
        <v>218</v>
      </c>
      <c r="R2" s="675" t="s">
        <v>189</v>
      </c>
      <c r="S2" s="664"/>
      <c r="T2" s="662" t="s">
        <v>190</v>
      </c>
      <c r="U2" s="664"/>
      <c r="V2" s="662" t="s">
        <v>191</v>
      </c>
      <c r="W2" s="664"/>
      <c r="X2" s="662" t="s">
        <v>192</v>
      </c>
      <c r="Y2" s="664"/>
      <c r="Z2" s="662" t="s">
        <v>193</v>
      </c>
      <c r="AA2" s="664"/>
      <c r="AB2" s="662" t="s">
        <v>194</v>
      </c>
      <c r="AC2" s="664"/>
      <c r="AD2" s="662" t="s">
        <v>195</v>
      </c>
      <c r="AE2" s="664"/>
      <c r="AF2" s="662" t="s">
        <v>196</v>
      </c>
      <c r="AG2" s="663"/>
      <c r="AH2" s="660" t="s">
        <v>197</v>
      </c>
      <c r="AI2" s="661"/>
      <c r="AJ2" s="28" t="s">
        <v>146</v>
      </c>
      <c r="AK2" s="26" t="s">
        <v>147</v>
      </c>
      <c r="AL2" s="26" t="s">
        <v>148</v>
      </c>
      <c r="AM2" s="26" t="s">
        <v>149</v>
      </c>
      <c r="AN2" s="26" t="s">
        <v>150</v>
      </c>
      <c r="AO2" s="26" t="s">
        <v>151</v>
      </c>
      <c r="AP2" s="26" t="s">
        <v>152</v>
      </c>
      <c r="AQ2" s="26" t="s">
        <v>153</v>
      </c>
      <c r="AR2" s="26" t="s">
        <v>154</v>
      </c>
      <c r="AS2" s="29" t="s">
        <v>155</v>
      </c>
      <c r="AT2" s="31" t="s">
        <v>187</v>
      </c>
      <c r="AU2" s="28" t="s">
        <v>220</v>
      </c>
      <c r="AV2" s="26" t="s">
        <v>143</v>
      </c>
      <c r="AW2" s="29"/>
    </row>
    <row r="3" spans="1:49" x14ac:dyDescent="0.25">
      <c r="A3" s="7" t="s">
        <v>222</v>
      </c>
      <c r="B3" s="55" t="s">
        <v>223</v>
      </c>
      <c r="C3" s="56" t="s">
        <v>225</v>
      </c>
      <c r="D3" s="56"/>
      <c r="E3" s="56" t="s">
        <v>225</v>
      </c>
      <c r="F3" s="56"/>
      <c r="G3" s="56" t="s">
        <v>225</v>
      </c>
      <c r="H3" s="56"/>
      <c r="I3" s="36"/>
      <c r="J3" s="36"/>
      <c r="K3" s="55" t="s">
        <v>224</v>
      </c>
      <c r="L3" s="55"/>
      <c r="M3" s="36"/>
      <c r="N3" s="57" t="s">
        <v>224</v>
      </c>
      <c r="O3" s="55"/>
      <c r="P3" s="36"/>
      <c r="Q3" s="36"/>
      <c r="R3" s="57" t="s">
        <v>225</v>
      </c>
      <c r="S3" s="57"/>
      <c r="T3" s="57" t="s">
        <v>225</v>
      </c>
      <c r="U3" s="57"/>
      <c r="V3" s="57" t="s">
        <v>225</v>
      </c>
      <c r="W3" s="57"/>
      <c r="X3" s="57" t="s">
        <v>225</v>
      </c>
      <c r="Y3" s="57"/>
      <c r="Z3" s="57" t="s">
        <v>225</v>
      </c>
      <c r="AA3" s="57"/>
      <c r="AB3" s="57" t="s">
        <v>225</v>
      </c>
      <c r="AC3" s="57"/>
      <c r="AD3" s="57" t="s">
        <v>225</v>
      </c>
      <c r="AE3" s="57"/>
      <c r="AF3" s="57" t="s">
        <v>225</v>
      </c>
      <c r="AG3" s="57"/>
      <c r="AH3" s="57" t="s">
        <v>225</v>
      </c>
      <c r="AI3" s="57"/>
      <c r="AJ3" s="36"/>
      <c r="AK3" s="36"/>
      <c r="AL3" s="36"/>
      <c r="AM3" s="36"/>
      <c r="AN3" s="36"/>
      <c r="AO3" s="36"/>
      <c r="AP3" s="36"/>
      <c r="AQ3" s="36"/>
      <c r="AR3" s="36"/>
      <c r="AS3" s="36"/>
      <c r="AT3" s="36"/>
      <c r="AU3" s="36"/>
      <c r="AV3" s="36"/>
      <c r="AW3" s="36"/>
    </row>
    <row r="4" spans="1:49" x14ac:dyDescent="0.25">
      <c r="A4" s="7" t="s">
        <v>221</v>
      </c>
      <c r="B4" s="55" t="s">
        <v>223</v>
      </c>
      <c r="C4" s="36">
        <v>0.9</v>
      </c>
      <c r="D4" s="36"/>
      <c r="E4" s="36">
        <v>0.9</v>
      </c>
      <c r="F4" s="36"/>
      <c r="G4" s="36">
        <v>0.9</v>
      </c>
      <c r="H4" s="36"/>
      <c r="I4" s="36"/>
      <c r="J4" s="36"/>
      <c r="K4" s="36">
        <v>3.9800000000000002E-2</v>
      </c>
      <c r="L4" s="36"/>
      <c r="M4" s="36"/>
      <c r="N4" s="170">
        <v>0.1</v>
      </c>
      <c r="O4" s="36"/>
      <c r="P4" s="36"/>
      <c r="Q4" s="36"/>
      <c r="R4" s="36">
        <v>0.67</v>
      </c>
      <c r="S4" s="36"/>
      <c r="T4" s="36">
        <v>0.67</v>
      </c>
      <c r="U4" s="36"/>
      <c r="V4" s="36">
        <v>0.67</v>
      </c>
      <c r="W4" s="36"/>
      <c r="X4" s="36">
        <v>0.67</v>
      </c>
      <c r="Y4" s="36"/>
      <c r="Z4" s="36">
        <v>0.67</v>
      </c>
      <c r="AA4" s="36"/>
      <c r="AB4" s="36">
        <v>0.67</v>
      </c>
      <c r="AC4" s="36"/>
      <c r="AD4" s="36">
        <v>0.67</v>
      </c>
      <c r="AE4" s="36"/>
      <c r="AF4" s="36">
        <v>0.67</v>
      </c>
      <c r="AG4" s="36"/>
      <c r="AH4" s="36">
        <v>0.67</v>
      </c>
      <c r="AI4" s="36"/>
      <c r="AJ4" s="36"/>
      <c r="AK4" s="36"/>
      <c r="AL4" s="36"/>
      <c r="AM4" s="36"/>
      <c r="AN4" s="36"/>
      <c r="AO4" s="36"/>
      <c r="AP4" s="36"/>
      <c r="AQ4" s="36"/>
      <c r="AR4" s="36"/>
      <c r="AS4" s="36"/>
      <c r="AT4" s="36"/>
      <c r="AU4" s="36"/>
      <c r="AV4" s="36"/>
      <c r="AW4" s="36"/>
    </row>
  </sheetData>
  <mergeCells count="19">
    <mergeCell ref="G2:H2"/>
    <mergeCell ref="E2:F2"/>
    <mergeCell ref="C2:D2"/>
    <mergeCell ref="X2:Y2"/>
    <mergeCell ref="V2:W2"/>
    <mergeCell ref="T2:U2"/>
    <mergeCell ref="R2:S2"/>
    <mergeCell ref="N2:O2"/>
    <mergeCell ref="K2:L2"/>
    <mergeCell ref="I1:M1"/>
    <mergeCell ref="N1:P1"/>
    <mergeCell ref="Q1:AF1"/>
    <mergeCell ref="AJ1:AS1"/>
    <mergeCell ref="AU1:AW1"/>
    <mergeCell ref="AH2:AI2"/>
    <mergeCell ref="AF2:AG2"/>
    <mergeCell ref="AD2:AE2"/>
    <mergeCell ref="AB2:AC2"/>
    <mergeCell ref="Z2:A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Using CID</vt:lpstr>
      <vt:lpstr>CID Coversheet (TW)</vt:lpstr>
      <vt:lpstr>Medicine Coversheet (CG)</vt:lpstr>
      <vt:lpstr>Surgery Coversheet (CG)</vt:lpstr>
      <vt:lpstr>W&amp;C Coversheet (CG)</vt:lpstr>
      <vt:lpstr>CSS Coversheet (CG)</vt:lpstr>
      <vt:lpstr>CID Coversheet (CG)</vt:lpstr>
      <vt:lpstr>Current Dashboard</vt:lpstr>
      <vt:lpstr>Previous Dashboard</vt:lpstr>
      <vt:lpstr>Staff In Post</vt:lpstr>
      <vt:lpstr>Mandatory Training</vt:lpstr>
      <vt:lpstr>Appraisals</vt:lpstr>
      <vt:lpstr>Stress</vt:lpstr>
      <vt:lpstr>Musculo Skeletal</vt:lpstr>
      <vt:lpstr>All Sickness</vt:lpstr>
      <vt:lpstr>LT.ST</vt:lpstr>
      <vt:lpstr>Turnover</vt:lpstr>
      <vt:lpstr>Leavers</vt:lpstr>
      <vt:lpstr>Agency Usage</vt:lpstr>
      <vt:lpstr>Staff Engagement</vt:lpstr>
      <vt:lpstr>Patient Experience</vt:lpstr>
      <vt:lpstr>LfE . HR Ops . F2SU</vt:lpstr>
      <vt:lpstr>Pulse Survey</vt:lpstr>
      <vt:lpstr>Staff Survey</vt:lpstr>
      <vt:lpstr>Pulse Mapping</vt:lpstr>
      <vt:lpstr>Benchmark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2020-07-08T11:25:46Z</dcterms:created>
  <dcterms:modified xsi:type="dcterms:W3CDTF">2022-10-12T11:02:45Z</dcterms:modified>
</cp:coreProperties>
</file>